
<file path=[Content_Types].xml><?xml version="1.0" encoding="utf-8"?>
<Types xmlns="http://schemas.openxmlformats.org/package/2006/content-types">
  <Default Extension="png" ContentType="image/png"/>
  <Default Extension="jpeg" ContentType="image/jpeg"/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fileSharing readOnlyRecommended="1" userName="Prime Estimation" algorithmName="SHA-512" hashValue="uJS4WO7yOxYPffzUPeLIBjVtRzVJ83jeK65Lj14OjF5wqaab1hlPDhcHMCy0JrTpOLMJs/Hdn/i8Vitq31Zrjw==" saltValue="YBGMtnMBp8HJ0mVGo5wV8w==" spinCount="100000"/>
  <workbookPr/>
  <mc:AlternateContent xmlns:mc="http://schemas.openxmlformats.org/markup-compatibility/2006">
    <mc:Choice Requires="x15">
      <x15ac:absPath xmlns:x15ac="http://schemas.microsoft.com/office/spreadsheetml/2010/11/ac" url="F:\PRIME ESTIMATION\ALFONSO AYALA-COMPLETE GC WORK\"/>
    </mc:Choice>
  </mc:AlternateContent>
  <xr:revisionPtr revIDLastSave="0" documentId="13_ncr:1_{847B24E1-B59E-4609-B94B-AB1994FB02BE}" xr6:coauthVersionLast="47" xr6:coauthVersionMax="47" xr10:uidLastSave="{00000000-0000-0000-0000-000000000000}"/>
  <workbookProtection workbookAlgorithmName="SHA-512" workbookHashValue="l2bUXxQ9KMFbcXKYzTiE9r+5ZSOCNK/hMx8F4n5ESZ1pnwT9bL8GLXHG+KDLi+/R6X752kjIsjYxiGqGnTFQPA==" workbookSaltValue="Q771X8PAn7OW9Vw1p/VnfQ==" workbookSpinCount="100000" lockStructure="1"/>
  <bookViews>
    <workbookView xWindow="-120" yWindow="-120" windowWidth="38640" windowHeight="21120" xr2:uid="{00000000-000D-0000-FFFF-FFFF00000000}"/>
  </bookViews>
  <sheets>
    <sheet name="BASE BID" sheetId="1" r:id="rId1"/>
    <sheet name="DEFERRED SUBMITTAL" sheetId="2" r:id="rId2"/>
    <sheet name="SUMMARY" sheetId="3" r:id="rId3"/>
  </sheets>
  <definedNames>
    <definedName name="_xlnm.Print_Area" localSheetId="0">'BASE BID'!$A$1:$O$287</definedName>
    <definedName name="_xlnm.Print_Area" localSheetId="1">'DEFERRED SUBMITTAL'!$A$1:$O$72</definedName>
    <definedName name="_xlnm.Print_Titles" localSheetId="0">'BASE BID'!$8:$8</definedName>
    <definedName name="_xlnm.Print_Titles" localSheetId="1">'DEFERRED SUBMITTAL'!$8:$8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2" i="3" l="1"/>
  <c r="G11" i="3"/>
  <c r="G10" i="3"/>
  <c r="N279" i="1"/>
  <c r="N66" i="2"/>
  <c r="N65" i="2"/>
  <c r="N64" i="2"/>
  <c r="N63" i="2"/>
  <c r="N51" i="2"/>
  <c r="N57" i="2"/>
  <c r="N272" i="1"/>
  <c r="N259" i="1"/>
  <c r="N240" i="1"/>
  <c r="N207" i="1"/>
  <c r="N191" i="1"/>
  <c r="N97" i="1"/>
  <c r="N78" i="1"/>
  <c r="N69" i="1"/>
  <c r="N63" i="1"/>
  <c r="N35" i="1"/>
  <c r="N26" i="1"/>
  <c r="F48" i="1"/>
  <c r="H48" i="1" s="1"/>
  <c r="F47" i="1"/>
  <c r="F39" i="1"/>
  <c r="M21" i="1"/>
  <c r="L21" i="1"/>
  <c r="N21" i="1" s="1"/>
  <c r="B77" i="1"/>
  <c r="H76" i="1"/>
  <c r="B75" i="1"/>
  <c r="B66" i="2"/>
  <c r="B65" i="2"/>
  <c r="B64" i="2"/>
  <c r="B63" i="2"/>
  <c r="B62" i="2"/>
  <c r="H61" i="2"/>
  <c r="B60" i="2"/>
  <c r="B59" i="2"/>
  <c r="B58" i="2"/>
  <c r="B57" i="2"/>
  <c r="B56" i="2"/>
  <c r="H55" i="2"/>
  <c r="B54" i="2"/>
  <c r="B53" i="2"/>
  <c r="B52" i="2"/>
  <c r="B51" i="2"/>
  <c r="B50" i="2"/>
  <c r="H49" i="2"/>
  <c r="H48" i="2"/>
  <c r="B47" i="2"/>
  <c r="B46" i="2"/>
  <c r="H45" i="2"/>
  <c r="L45" i="2" s="1"/>
  <c r="H44" i="2"/>
  <c r="B43" i="2"/>
  <c r="B42" i="2"/>
  <c r="F41" i="2"/>
  <c r="H41" i="2" s="1"/>
  <c r="F40" i="2"/>
  <c r="H40" i="2" s="1"/>
  <c r="F39" i="2"/>
  <c r="H39" i="2" s="1"/>
  <c r="F38" i="2"/>
  <c r="H38" i="2" s="1"/>
  <c r="F37" i="2"/>
  <c r="H37" i="2" s="1"/>
  <c r="F36" i="2"/>
  <c r="H36" i="2" s="1"/>
  <c r="F35" i="2"/>
  <c r="H35" i="2" s="1"/>
  <c r="B34" i="2"/>
  <c r="B33" i="2"/>
  <c r="H32" i="2"/>
  <c r="H31" i="2"/>
  <c r="H30" i="2"/>
  <c r="H29" i="2"/>
  <c r="H28" i="2"/>
  <c r="H27" i="2"/>
  <c r="H26" i="2"/>
  <c r="H25" i="2"/>
  <c r="L25" i="2" s="1"/>
  <c r="B24" i="2"/>
  <c r="B23" i="2"/>
  <c r="H22" i="2"/>
  <c r="H21" i="2"/>
  <c r="M21" i="2" s="1"/>
  <c r="B20" i="2"/>
  <c r="B19" i="2"/>
  <c r="B18" i="2"/>
  <c r="B17" i="2"/>
  <c r="H16" i="2"/>
  <c r="M16" i="2" s="1"/>
  <c r="H15" i="2"/>
  <c r="M15" i="2" s="1"/>
  <c r="H14" i="2"/>
  <c r="M14" i="2" s="1"/>
  <c r="H13" i="2"/>
  <c r="L13" i="2" s="1"/>
  <c r="H12" i="2"/>
  <c r="M12" i="2" s="1"/>
  <c r="H11" i="2"/>
  <c r="M11" i="2" s="1"/>
  <c r="H10" i="2"/>
  <c r="M10" i="2" s="1"/>
  <c r="B10" i="2"/>
  <c r="B17" i="1"/>
  <c r="B18" i="1"/>
  <c r="B19" i="1"/>
  <c r="B20" i="1"/>
  <c r="B25" i="1"/>
  <c r="B26" i="1"/>
  <c r="B27" i="1"/>
  <c r="B28" i="1"/>
  <c r="B29" i="1"/>
  <c r="B34" i="1"/>
  <c r="B35" i="1"/>
  <c r="B36" i="1"/>
  <c r="B37" i="1"/>
  <c r="B38" i="1"/>
  <c r="B40" i="1"/>
  <c r="B43" i="1"/>
  <c r="B45" i="1"/>
  <c r="B46" i="1"/>
  <c r="B49" i="1"/>
  <c r="B50" i="1"/>
  <c r="B53" i="1"/>
  <c r="B54" i="1"/>
  <c r="B56" i="1"/>
  <c r="B57" i="1"/>
  <c r="B62" i="1"/>
  <c r="B63" i="1"/>
  <c r="B64" i="1"/>
  <c r="B65" i="1"/>
  <c r="B66" i="1"/>
  <c r="B68" i="1"/>
  <c r="B69" i="1"/>
  <c r="B70" i="1"/>
  <c r="B71" i="1"/>
  <c r="B72" i="1"/>
  <c r="B74" i="1"/>
  <c r="B78" i="1"/>
  <c r="B79" i="1"/>
  <c r="B80" i="1"/>
  <c r="B81" i="1"/>
  <c r="B90" i="1"/>
  <c r="B91" i="1"/>
  <c r="B93" i="1"/>
  <c r="B94" i="1"/>
  <c r="B96" i="1"/>
  <c r="B97" i="1"/>
  <c r="B98" i="1"/>
  <c r="B99" i="1"/>
  <c r="B100" i="1"/>
  <c r="B101" i="1"/>
  <c r="B107" i="1"/>
  <c r="B108" i="1"/>
  <c r="B115" i="1"/>
  <c r="B116" i="1"/>
  <c r="B122" i="1"/>
  <c r="B123" i="1"/>
  <c r="B129" i="1"/>
  <c r="B130" i="1"/>
  <c r="B136" i="1"/>
  <c r="B137" i="1"/>
  <c r="B144" i="1"/>
  <c r="B145" i="1"/>
  <c r="B151" i="1"/>
  <c r="B152" i="1"/>
  <c r="B156" i="1"/>
  <c r="B157" i="1"/>
  <c r="B161" i="1"/>
  <c r="B162" i="1"/>
  <c r="B166" i="1"/>
  <c r="B170" i="1"/>
  <c r="B171" i="1"/>
  <c r="B174" i="1"/>
  <c r="B176" i="1"/>
  <c r="B180" i="1"/>
  <c r="B181" i="1"/>
  <c r="B184" i="1"/>
  <c r="B185" i="1"/>
  <c r="B187" i="1"/>
  <c r="B188" i="1"/>
  <c r="B190" i="1"/>
  <c r="B191" i="1"/>
  <c r="B192" i="1"/>
  <c r="B193" i="1"/>
  <c r="B194" i="1"/>
  <c r="B197" i="1"/>
  <c r="B198" i="1"/>
  <c r="B206" i="1"/>
  <c r="B207" i="1"/>
  <c r="B208" i="1"/>
  <c r="B209" i="1"/>
  <c r="B210" i="1"/>
  <c r="B239" i="1"/>
  <c r="B240" i="1"/>
  <c r="B241" i="1"/>
  <c r="B242" i="1"/>
  <c r="B243" i="1"/>
  <c r="B251" i="1"/>
  <c r="B252" i="1"/>
  <c r="B255" i="1"/>
  <c r="B256" i="1"/>
  <c r="B258" i="1"/>
  <c r="B259" i="1"/>
  <c r="B260" i="1"/>
  <c r="B261" i="1"/>
  <c r="B262" i="1"/>
  <c r="B268" i="1"/>
  <c r="B269" i="1"/>
  <c r="B271" i="1"/>
  <c r="B272" i="1"/>
  <c r="B273" i="1"/>
  <c r="B274" i="1"/>
  <c r="B275" i="1"/>
  <c r="B277" i="1"/>
  <c r="B278" i="1"/>
  <c r="F189" i="1"/>
  <c r="F179" i="1"/>
  <c r="F178" i="1"/>
  <c r="F177" i="1"/>
  <c r="F175" i="1"/>
  <c r="F169" i="1"/>
  <c r="F168" i="1"/>
  <c r="F167" i="1"/>
  <c r="H39" i="1"/>
  <c r="H61" i="1"/>
  <c r="L61" i="1" s="1"/>
  <c r="H60" i="1"/>
  <c r="H44" i="1"/>
  <c r="L44" i="1" s="1"/>
  <c r="F33" i="1"/>
  <c r="H33" i="1" s="1"/>
  <c r="M33" i="1" s="1"/>
  <c r="F30" i="1"/>
  <c r="H30" i="1" s="1"/>
  <c r="M30" i="1" s="1"/>
  <c r="H31" i="1"/>
  <c r="L31" i="1" s="1"/>
  <c r="H32" i="1"/>
  <c r="L32" i="1" s="1"/>
  <c r="H42" i="1"/>
  <c r="L42" i="1" s="1"/>
  <c r="F164" i="1"/>
  <c r="H164" i="1" s="1"/>
  <c r="F163" i="1"/>
  <c r="H163" i="1" s="1"/>
  <c r="F165" i="1"/>
  <c r="H165" i="1" s="1"/>
  <c r="F159" i="1"/>
  <c r="H159" i="1" s="1"/>
  <c r="F158" i="1"/>
  <c r="H158" i="1" s="1"/>
  <c r="F160" i="1"/>
  <c r="H160" i="1" s="1"/>
  <c r="F155" i="1"/>
  <c r="H155" i="1" s="1"/>
  <c r="F154" i="1"/>
  <c r="H154" i="1" s="1"/>
  <c r="F153" i="1"/>
  <c r="H153" i="1" s="1"/>
  <c r="F150" i="1"/>
  <c r="H150" i="1" s="1"/>
  <c r="F149" i="1"/>
  <c r="H149" i="1" s="1"/>
  <c r="F148" i="1"/>
  <c r="H148" i="1" s="1"/>
  <c r="F147" i="1"/>
  <c r="H147" i="1" s="1"/>
  <c r="F146" i="1"/>
  <c r="H146" i="1" s="1"/>
  <c r="F141" i="1"/>
  <c r="H141" i="1" s="1"/>
  <c r="F140" i="1"/>
  <c r="H140" i="1" s="1"/>
  <c r="F139" i="1"/>
  <c r="H139" i="1" s="1"/>
  <c r="F138" i="1"/>
  <c r="H138" i="1" s="1"/>
  <c r="F143" i="1"/>
  <c r="H143" i="1" s="1"/>
  <c r="F142" i="1"/>
  <c r="H142" i="1" s="1"/>
  <c r="F133" i="1"/>
  <c r="H133" i="1" s="1"/>
  <c r="F132" i="1"/>
  <c r="F131" i="1"/>
  <c r="H131" i="1" s="1"/>
  <c r="F135" i="1"/>
  <c r="H135" i="1" s="1"/>
  <c r="F134" i="1"/>
  <c r="H134" i="1" s="1"/>
  <c r="H132" i="1"/>
  <c r="F126" i="1"/>
  <c r="H126" i="1" s="1"/>
  <c r="F125" i="1"/>
  <c r="H125" i="1" s="1"/>
  <c r="F128" i="1"/>
  <c r="H128" i="1" s="1"/>
  <c r="F127" i="1"/>
  <c r="H127" i="1" s="1"/>
  <c r="F124" i="1"/>
  <c r="F119" i="1"/>
  <c r="H119" i="1" s="1"/>
  <c r="F118" i="1"/>
  <c r="H118" i="1" s="1"/>
  <c r="F117" i="1"/>
  <c r="H117" i="1" s="1"/>
  <c r="F121" i="1"/>
  <c r="H121" i="1" s="1"/>
  <c r="F120" i="1"/>
  <c r="H120" i="1" s="1"/>
  <c r="F114" i="1"/>
  <c r="F113" i="1"/>
  <c r="F112" i="1"/>
  <c r="F111" i="1"/>
  <c r="F110" i="1"/>
  <c r="F109" i="1"/>
  <c r="F106" i="1"/>
  <c r="F105" i="1"/>
  <c r="F104" i="1"/>
  <c r="F103" i="1"/>
  <c r="F102" i="1"/>
  <c r="H67" i="1"/>
  <c r="H23" i="1"/>
  <c r="L23" i="1" s="1"/>
  <c r="H58" i="1"/>
  <c r="H55" i="1"/>
  <c r="L55" i="1" s="1"/>
  <c r="H47" i="1"/>
  <c r="H59" i="1"/>
  <c r="H52" i="1"/>
  <c r="H51" i="1"/>
  <c r="L51" i="1" s="1"/>
  <c r="H41" i="1"/>
  <c r="M41" i="1" s="1"/>
  <c r="H95" i="1"/>
  <c r="H92" i="1"/>
  <c r="H89" i="1"/>
  <c r="H88" i="1"/>
  <c r="L88" i="1" s="1"/>
  <c r="H87" i="1"/>
  <c r="H86" i="1"/>
  <c r="H85" i="1"/>
  <c r="H84" i="1"/>
  <c r="L84" i="1" s="1"/>
  <c r="H83" i="1"/>
  <c r="H82" i="1"/>
  <c r="H205" i="1"/>
  <c r="M205" i="1" s="1"/>
  <c r="H204" i="1"/>
  <c r="H203" i="1"/>
  <c r="H202" i="1"/>
  <c r="H201" i="1"/>
  <c r="H238" i="1"/>
  <c r="H237" i="1"/>
  <c r="L237" i="1" s="1"/>
  <c r="H236" i="1"/>
  <c r="H235" i="1"/>
  <c r="H234" i="1"/>
  <c r="H233" i="1"/>
  <c r="H232" i="1"/>
  <c r="H231" i="1"/>
  <c r="H230" i="1"/>
  <c r="H229" i="1"/>
  <c r="H228" i="1"/>
  <c r="H227" i="1"/>
  <c r="H226" i="1"/>
  <c r="H225" i="1"/>
  <c r="H224" i="1"/>
  <c r="H223" i="1"/>
  <c r="H222" i="1"/>
  <c r="H221" i="1"/>
  <c r="H220" i="1"/>
  <c r="H219" i="1"/>
  <c r="H218" i="1"/>
  <c r="H217" i="1"/>
  <c r="H216" i="1"/>
  <c r="H215" i="1"/>
  <c r="H246" i="1"/>
  <c r="L246" i="1" s="1"/>
  <c r="H247" i="1"/>
  <c r="H248" i="1"/>
  <c r="H249" i="1"/>
  <c r="L249" i="1" s="1"/>
  <c r="H250" i="1"/>
  <c r="L250" i="1" s="1"/>
  <c r="H200" i="1"/>
  <c r="H199" i="1"/>
  <c r="H196" i="1"/>
  <c r="H195" i="1"/>
  <c r="F253" i="1"/>
  <c r="F254" i="1"/>
  <c r="M61" i="2" l="1"/>
  <c r="L55" i="2"/>
  <c r="L57" i="2" s="1"/>
  <c r="L49" i="2"/>
  <c r="L41" i="2"/>
  <c r="M29" i="2"/>
  <c r="M26" i="2"/>
  <c r="L30" i="2"/>
  <c r="M27" i="2"/>
  <c r="M31" i="2"/>
  <c r="L28" i="2"/>
  <c r="L36" i="2"/>
  <c r="L40" i="2"/>
  <c r="M44" i="2"/>
  <c r="M48" i="2"/>
  <c r="M22" i="2"/>
  <c r="L234" i="1"/>
  <c r="M199" i="1"/>
  <c r="L215" i="1"/>
  <c r="L231" i="1"/>
  <c r="L247" i="1"/>
  <c r="L221" i="1"/>
  <c r="L217" i="1"/>
  <c r="M203" i="1"/>
  <c r="M201" i="1"/>
  <c r="L195" i="1"/>
  <c r="M120" i="1"/>
  <c r="M118" i="1"/>
  <c r="M218" i="1"/>
  <c r="M222" i="1"/>
  <c r="M226" i="1"/>
  <c r="M230" i="1"/>
  <c r="M238" i="1"/>
  <c r="M204" i="1"/>
  <c r="M219" i="1"/>
  <c r="M223" i="1"/>
  <c r="M227" i="1"/>
  <c r="M235" i="1"/>
  <c r="M121" i="1"/>
  <c r="M155" i="1"/>
  <c r="M200" i="1"/>
  <c r="M225" i="1"/>
  <c r="M229" i="1"/>
  <c r="M233" i="1"/>
  <c r="M153" i="1"/>
  <c r="M83" i="1"/>
  <c r="M87" i="1"/>
  <c r="M59" i="1"/>
  <c r="M47" i="1"/>
  <c r="M67" i="1"/>
  <c r="M119" i="1"/>
  <c r="M39" i="1"/>
  <c r="M196" i="1"/>
  <c r="M85" i="1"/>
  <c r="M89" i="1"/>
  <c r="M76" i="1"/>
  <c r="M48" i="1"/>
  <c r="L248" i="1"/>
  <c r="M216" i="1"/>
  <c r="M220" i="1"/>
  <c r="L224" i="1"/>
  <c r="L228" i="1"/>
  <c r="M232" i="1"/>
  <c r="M236" i="1"/>
  <c r="L202" i="1"/>
  <c r="M82" i="1"/>
  <c r="M86" i="1"/>
  <c r="L92" i="1"/>
  <c r="M52" i="1"/>
  <c r="M58" i="1"/>
  <c r="M117" i="1"/>
  <c r="L60" i="1"/>
  <c r="M95" i="1"/>
  <c r="L61" i="2"/>
  <c r="L63" i="2" s="1"/>
  <c r="L76" i="1"/>
  <c r="L10" i="2"/>
  <c r="L14" i="2"/>
  <c r="L31" i="2"/>
  <c r="N31" i="2" s="1"/>
  <c r="L44" i="2"/>
  <c r="N44" i="2" s="1"/>
  <c r="M25" i="2"/>
  <c r="N25" i="2" s="1"/>
  <c r="L26" i="2"/>
  <c r="N26" i="2" s="1"/>
  <c r="L27" i="2"/>
  <c r="M28" i="2"/>
  <c r="N28" i="2" s="1"/>
  <c r="L29" i="2"/>
  <c r="N29" i="2" s="1"/>
  <c r="L35" i="2"/>
  <c r="M35" i="2"/>
  <c r="L39" i="2"/>
  <c r="M39" i="2"/>
  <c r="L37" i="2"/>
  <c r="M37" i="2"/>
  <c r="M13" i="2"/>
  <c r="N13" i="2" s="1"/>
  <c r="L21" i="2"/>
  <c r="N21" i="2" s="1"/>
  <c r="L48" i="2"/>
  <c r="M49" i="2"/>
  <c r="M55" i="2"/>
  <c r="M57" i="2" s="1"/>
  <c r="N10" i="2"/>
  <c r="N14" i="2"/>
  <c r="L16" i="2"/>
  <c r="N16" i="2" s="1"/>
  <c r="L11" i="2"/>
  <c r="N11" i="2" s="1"/>
  <c r="L15" i="2"/>
  <c r="N15" i="2" s="1"/>
  <c r="M41" i="2"/>
  <c r="N41" i="2" s="1"/>
  <c r="L38" i="2"/>
  <c r="M38" i="2"/>
  <c r="M63" i="2"/>
  <c r="L12" i="2"/>
  <c r="B11" i="2"/>
  <c r="L32" i="2"/>
  <c r="M32" i="2"/>
  <c r="L22" i="2"/>
  <c r="M30" i="2"/>
  <c r="M36" i="2"/>
  <c r="M40" i="2"/>
  <c r="M45" i="2"/>
  <c r="N45" i="2" s="1"/>
  <c r="M44" i="1"/>
  <c r="N44" i="1" s="1"/>
  <c r="M31" i="1"/>
  <c r="N31" i="1" s="1"/>
  <c r="M32" i="1"/>
  <c r="N32" i="1" s="1"/>
  <c r="M61" i="1"/>
  <c r="N61" i="1" s="1"/>
  <c r="M60" i="1"/>
  <c r="N60" i="1" s="1"/>
  <c r="M42" i="1"/>
  <c r="N42" i="1" s="1"/>
  <c r="M165" i="1"/>
  <c r="L165" i="1"/>
  <c r="M164" i="1"/>
  <c r="L164" i="1"/>
  <c r="M163" i="1"/>
  <c r="L163" i="1"/>
  <c r="M160" i="1"/>
  <c r="L160" i="1"/>
  <c r="M159" i="1"/>
  <c r="L159" i="1"/>
  <c r="M158" i="1"/>
  <c r="L158" i="1"/>
  <c r="M154" i="1"/>
  <c r="L154" i="1"/>
  <c r="M146" i="1"/>
  <c r="L146" i="1"/>
  <c r="M150" i="1"/>
  <c r="L150" i="1"/>
  <c r="M149" i="1"/>
  <c r="L149" i="1"/>
  <c r="M148" i="1"/>
  <c r="L148" i="1"/>
  <c r="M147" i="1"/>
  <c r="L147" i="1"/>
  <c r="L143" i="1"/>
  <c r="M143" i="1"/>
  <c r="L138" i="1"/>
  <c r="M138" i="1"/>
  <c r="L142" i="1"/>
  <c r="M142" i="1"/>
  <c r="M140" i="1"/>
  <c r="L140" i="1"/>
  <c r="L139" i="1"/>
  <c r="M139" i="1"/>
  <c r="L141" i="1"/>
  <c r="M141" i="1"/>
  <c r="L41" i="1"/>
  <c r="N41" i="1" s="1"/>
  <c r="M131" i="1"/>
  <c r="L131" i="1"/>
  <c r="M135" i="1"/>
  <c r="L135" i="1"/>
  <c r="M132" i="1"/>
  <c r="L132" i="1"/>
  <c r="M134" i="1"/>
  <c r="L134" i="1"/>
  <c r="M133" i="1"/>
  <c r="L133" i="1"/>
  <c r="M125" i="1"/>
  <c r="L125" i="1"/>
  <c r="M128" i="1"/>
  <c r="L128" i="1"/>
  <c r="M127" i="1"/>
  <c r="L127" i="1"/>
  <c r="M126" i="1"/>
  <c r="L126" i="1"/>
  <c r="L82" i="1"/>
  <c r="L83" i="1"/>
  <c r="N83" i="1" s="1"/>
  <c r="L89" i="1"/>
  <c r="N89" i="1" s="1"/>
  <c r="L86" i="1"/>
  <c r="L87" i="1"/>
  <c r="L117" i="1"/>
  <c r="L118" i="1"/>
  <c r="N118" i="1" s="1"/>
  <c r="L119" i="1"/>
  <c r="L120" i="1"/>
  <c r="L121" i="1"/>
  <c r="L67" i="1"/>
  <c r="N67" i="1" s="1"/>
  <c r="M23" i="1"/>
  <c r="N23" i="1" s="1"/>
  <c r="L52" i="1"/>
  <c r="N52" i="1" s="1"/>
  <c r="L48" i="1"/>
  <c r="L33" i="1"/>
  <c r="N33" i="1" s="1"/>
  <c r="L30" i="1"/>
  <c r="N30" i="1" s="1"/>
  <c r="L59" i="1"/>
  <c r="M51" i="1"/>
  <c r="N51" i="1" s="1"/>
  <c r="M55" i="1"/>
  <c r="N55" i="1" s="1"/>
  <c r="L39" i="1"/>
  <c r="N39" i="1" s="1"/>
  <c r="L47" i="1"/>
  <c r="N47" i="1" s="1"/>
  <c r="L58" i="1"/>
  <c r="N58" i="1" s="1"/>
  <c r="L95" i="1"/>
  <c r="L85" i="1"/>
  <c r="M84" i="1"/>
  <c r="N84" i="1" s="1"/>
  <c r="M88" i="1"/>
  <c r="N88" i="1" s="1"/>
  <c r="M92" i="1"/>
  <c r="L219" i="1"/>
  <c r="L203" i="1"/>
  <c r="N203" i="1" s="1"/>
  <c r="L204" i="1"/>
  <c r="N204" i="1" s="1"/>
  <c r="L205" i="1"/>
  <c r="N205" i="1" s="1"/>
  <c r="L201" i="1"/>
  <c r="M202" i="1"/>
  <c r="N202" i="1" s="1"/>
  <c r="L225" i="1"/>
  <c r="N225" i="1" s="1"/>
  <c r="L226" i="1"/>
  <c r="N226" i="1" s="1"/>
  <c r="M246" i="1"/>
  <c r="N246" i="1" s="1"/>
  <c r="L229" i="1"/>
  <c r="L230" i="1"/>
  <c r="L216" i="1"/>
  <c r="N216" i="1" s="1"/>
  <c r="L227" i="1"/>
  <c r="L238" i="1"/>
  <c r="N238" i="1" s="1"/>
  <c r="M228" i="1"/>
  <c r="N228" i="1" s="1"/>
  <c r="M231" i="1"/>
  <c r="L218" i="1"/>
  <c r="L222" i="1"/>
  <c r="M237" i="1"/>
  <c r="N237" i="1" s="1"/>
  <c r="M234" i="1"/>
  <c r="N234" i="1" s="1"/>
  <c r="L232" i="1"/>
  <c r="L235" i="1"/>
  <c r="L233" i="1"/>
  <c r="L236" i="1"/>
  <c r="L220" i="1"/>
  <c r="N220" i="1" s="1"/>
  <c r="L223" i="1"/>
  <c r="M221" i="1"/>
  <c r="N221" i="1" s="1"/>
  <c r="M224" i="1"/>
  <c r="M215" i="1"/>
  <c r="M217" i="1"/>
  <c r="M247" i="1"/>
  <c r="M248" i="1"/>
  <c r="N248" i="1" s="1"/>
  <c r="M249" i="1"/>
  <c r="N249" i="1" s="1"/>
  <c r="M250" i="1"/>
  <c r="N250" i="1" s="1"/>
  <c r="L200" i="1"/>
  <c r="L199" i="1"/>
  <c r="N199" i="1" s="1"/>
  <c r="M195" i="1"/>
  <c r="L196" i="1"/>
  <c r="L155" i="1"/>
  <c r="L153" i="1"/>
  <c r="H183" i="1"/>
  <c r="M183" i="1" s="1"/>
  <c r="H175" i="1"/>
  <c r="L175" i="1" s="1"/>
  <c r="H179" i="1"/>
  <c r="H178" i="1"/>
  <c r="H177" i="1"/>
  <c r="H169" i="1"/>
  <c r="L169" i="1" s="1"/>
  <c r="H168" i="1"/>
  <c r="H167" i="1"/>
  <c r="L167" i="1" s="1"/>
  <c r="N49" i="2" l="1"/>
  <c r="N48" i="2"/>
  <c r="N36" i="2"/>
  <c r="N30" i="2"/>
  <c r="N61" i="2"/>
  <c r="N40" i="2"/>
  <c r="N27" i="2"/>
  <c r="N22" i="2"/>
  <c r="N121" i="1"/>
  <c r="N217" i="1"/>
  <c r="N235" i="1"/>
  <c r="N222" i="1"/>
  <c r="N229" i="1"/>
  <c r="N120" i="1"/>
  <c r="N215" i="1"/>
  <c r="N232" i="1"/>
  <c r="N219" i="1"/>
  <c r="N231" i="1"/>
  <c r="N201" i="1"/>
  <c r="N227" i="1"/>
  <c r="N247" i="1"/>
  <c r="N218" i="1"/>
  <c r="N86" i="1"/>
  <c r="N200" i="1"/>
  <c r="N153" i="1"/>
  <c r="N119" i="1"/>
  <c r="N117" i="1"/>
  <c r="N87" i="1"/>
  <c r="N155" i="1"/>
  <c r="N233" i="1"/>
  <c r="N230" i="1"/>
  <c r="N223" i="1"/>
  <c r="N59" i="1"/>
  <c r="N224" i="1"/>
  <c r="N236" i="1"/>
  <c r="N92" i="1"/>
  <c r="N95" i="1"/>
  <c r="N48" i="1"/>
  <c r="N76" i="1"/>
  <c r="N39" i="2"/>
  <c r="N37" i="2"/>
  <c r="N35" i="2"/>
  <c r="N38" i="2"/>
  <c r="N55" i="2"/>
  <c r="L17" i="2"/>
  <c r="N32" i="2"/>
  <c r="L51" i="2"/>
  <c r="M51" i="2"/>
  <c r="B12" i="2"/>
  <c r="N12" i="2"/>
  <c r="N196" i="1"/>
  <c r="L207" i="1"/>
  <c r="N82" i="1"/>
  <c r="L97" i="1"/>
  <c r="M97" i="1"/>
  <c r="L63" i="1"/>
  <c r="M63" i="1"/>
  <c r="N164" i="1"/>
  <c r="N163" i="1"/>
  <c r="N165" i="1"/>
  <c r="N159" i="1"/>
  <c r="N158" i="1"/>
  <c r="N160" i="1"/>
  <c r="N154" i="1"/>
  <c r="N134" i="1"/>
  <c r="N135" i="1"/>
  <c r="N139" i="1"/>
  <c r="N142" i="1"/>
  <c r="N143" i="1"/>
  <c r="N149" i="1"/>
  <c r="N148" i="1"/>
  <c r="N150" i="1"/>
  <c r="N147" i="1"/>
  <c r="N146" i="1"/>
  <c r="N140" i="1"/>
  <c r="N141" i="1"/>
  <c r="N138" i="1"/>
  <c r="N133" i="1"/>
  <c r="N132" i="1"/>
  <c r="N131" i="1"/>
  <c r="N126" i="1"/>
  <c r="N127" i="1"/>
  <c r="N128" i="1"/>
  <c r="N125" i="1"/>
  <c r="L69" i="1"/>
  <c r="M69" i="1"/>
  <c r="L35" i="1"/>
  <c r="M35" i="1"/>
  <c r="N85" i="1"/>
  <c r="M207" i="1"/>
  <c r="N195" i="1"/>
  <c r="L183" i="1"/>
  <c r="N183" i="1" s="1"/>
  <c r="M175" i="1"/>
  <c r="N175" i="1" s="1"/>
  <c r="M177" i="1"/>
  <c r="L177" i="1"/>
  <c r="M178" i="1"/>
  <c r="L178" i="1"/>
  <c r="M179" i="1"/>
  <c r="L179" i="1"/>
  <c r="M169" i="1"/>
  <c r="N169" i="1" s="1"/>
  <c r="L168" i="1"/>
  <c r="M168" i="1"/>
  <c r="M167" i="1"/>
  <c r="N167" i="1" s="1"/>
  <c r="B13" i="2" l="1"/>
  <c r="N17" i="2"/>
  <c r="N178" i="1"/>
  <c r="N179" i="1"/>
  <c r="N177" i="1"/>
  <c r="N168" i="1"/>
  <c r="M4" i="2" l="1"/>
  <c r="B14" i="2"/>
  <c r="H124" i="1"/>
  <c r="H110" i="1"/>
  <c r="L110" i="1" s="1"/>
  <c r="H109" i="1"/>
  <c r="H114" i="1"/>
  <c r="H113" i="1"/>
  <c r="H112" i="1"/>
  <c r="H111" i="1"/>
  <c r="H106" i="1"/>
  <c r="L106" i="1" s="1"/>
  <c r="H105" i="1"/>
  <c r="L105" i="1" s="1"/>
  <c r="H104" i="1"/>
  <c r="H103" i="1"/>
  <c r="L103" i="1" s="1"/>
  <c r="H102" i="1"/>
  <c r="L102" i="1" s="1"/>
  <c r="H276" i="1"/>
  <c r="M276" i="1" s="1"/>
  <c r="H173" i="1"/>
  <c r="L173" i="1" s="1"/>
  <c r="H172" i="1"/>
  <c r="M172" i="1" s="1"/>
  <c r="H267" i="1"/>
  <c r="L267" i="1" s="1"/>
  <c r="H266" i="1"/>
  <c r="L266" i="1" s="1"/>
  <c r="H265" i="1"/>
  <c r="L265" i="1" s="1"/>
  <c r="H264" i="1"/>
  <c r="L264" i="1" s="1"/>
  <c r="H263" i="1"/>
  <c r="L263" i="1" s="1"/>
  <c r="H270" i="1"/>
  <c r="M270" i="1" s="1"/>
  <c r="H214" i="1"/>
  <c r="L214" i="1" s="1"/>
  <c r="H245" i="1"/>
  <c r="L245" i="1" s="1"/>
  <c r="H189" i="1"/>
  <c r="M189" i="1" s="1"/>
  <c r="H182" i="1"/>
  <c r="L182" i="1" s="1"/>
  <c r="H186" i="1"/>
  <c r="M186" i="1" s="1"/>
  <c r="H73" i="1"/>
  <c r="H213" i="1"/>
  <c r="L213" i="1" s="1"/>
  <c r="H212" i="1"/>
  <c r="L212" i="1" s="1"/>
  <c r="H211" i="1"/>
  <c r="M3" i="2" l="1"/>
  <c r="B15" i="2"/>
  <c r="M6" i="2"/>
  <c r="M73" i="1"/>
  <c r="M78" i="1" s="1"/>
  <c r="M124" i="1"/>
  <c r="L124" i="1"/>
  <c r="M110" i="1"/>
  <c r="N110" i="1" s="1"/>
  <c r="M111" i="1"/>
  <c r="L111" i="1"/>
  <c r="M109" i="1"/>
  <c r="L109" i="1"/>
  <c r="M114" i="1"/>
  <c r="L114" i="1"/>
  <c r="M113" i="1"/>
  <c r="L113" i="1"/>
  <c r="M112" i="1"/>
  <c r="L112" i="1"/>
  <c r="M103" i="1"/>
  <c r="N103" i="1" s="1"/>
  <c r="L104" i="1"/>
  <c r="M104" i="1"/>
  <c r="M105" i="1"/>
  <c r="N105" i="1" s="1"/>
  <c r="M106" i="1"/>
  <c r="N106" i="1" s="1"/>
  <c r="L276" i="1"/>
  <c r="L278" i="1" s="1"/>
  <c r="L172" i="1"/>
  <c r="N172" i="1" s="1"/>
  <c r="M173" i="1"/>
  <c r="N173" i="1" s="1"/>
  <c r="M264" i="1"/>
  <c r="N264" i="1" s="1"/>
  <c r="M265" i="1"/>
  <c r="N265" i="1" s="1"/>
  <c r="M263" i="1"/>
  <c r="N263" i="1" s="1"/>
  <c r="M267" i="1"/>
  <c r="N267" i="1" s="1"/>
  <c r="M102" i="1"/>
  <c r="M266" i="1"/>
  <c r="L270" i="1"/>
  <c r="N270" i="1" s="1"/>
  <c r="M214" i="1"/>
  <c r="N214" i="1" s="1"/>
  <c r="M245" i="1"/>
  <c r="N245" i="1" s="1"/>
  <c r="L189" i="1"/>
  <c r="N189" i="1" s="1"/>
  <c r="M182" i="1"/>
  <c r="N182" i="1" s="1"/>
  <c r="L186" i="1"/>
  <c r="N186" i="1" s="1"/>
  <c r="M212" i="1"/>
  <c r="N212" i="1" s="1"/>
  <c r="M213" i="1"/>
  <c r="N213" i="1" s="1"/>
  <c r="L73" i="1"/>
  <c r="L78" i="1" s="1"/>
  <c r="L211" i="1"/>
  <c r="L240" i="1" s="1"/>
  <c r="M211" i="1"/>
  <c r="M240" i="1" l="1"/>
  <c r="L272" i="1"/>
  <c r="B16" i="2"/>
  <c r="N276" i="1"/>
  <c r="N278" i="1" s="1"/>
  <c r="N102" i="1"/>
  <c r="N124" i="1"/>
  <c r="N113" i="1"/>
  <c r="N109" i="1"/>
  <c r="N112" i="1"/>
  <c r="N114" i="1"/>
  <c r="N111" i="1"/>
  <c r="N104" i="1"/>
  <c r="M278" i="1"/>
  <c r="M272" i="1"/>
  <c r="N266" i="1"/>
  <c r="N73" i="1"/>
  <c r="N211" i="1"/>
  <c r="H257" i="1"/>
  <c r="M257" i="1" s="1"/>
  <c r="H254" i="1"/>
  <c r="L254" i="1" s="1"/>
  <c r="H253" i="1"/>
  <c r="H244" i="1"/>
  <c r="L253" i="1" l="1"/>
  <c r="L244" i="1"/>
  <c r="L191" i="1"/>
  <c r="L257" i="1"/>
  <c r="N257" i="1" s="1"/>
  <c r="M253" i="1"/>
  <c r="M254" i="1"/>
  <c r="N254" i="1" s="1"/>
  <c r="M244" i="1"/>
  <c r="L259" i="1" l="1"/>
  <c r="M191" i="1"/>
  <c r="N244" i="1"/>
  <c r="N253" i="1"/>
  <c r="M259" i="1"/>
  <c r="B21" i="2" l="1"/>
  <c r="B22" i="2" s="1"/>
  <c r="B25" i="2" s="1"/>
  <c r="B26" i="2" s="1"/>
  <c r="B27" i="2" s="1"/>
  <c r="B28" i="2" s="1"/>
  <c r="B29" i="2" s="1"/>
  <c r="B30" i="2" s="1"/>
  <c r="B31" i="2" s="1"/>
  <c r="B32" i="2" s="1"/>
  <c r="B35" i="2" s="1"/>
  <c r="B36" i="2" s="1"/>
  <c r="B37" i="2" s="1"/>
  <c r="B38" i="2" s="1"/>
  <c r="B39" i="2" s="1"/>
  <c r="B40" i="2" s="1"/>
  <c r="B41" i="2" s="1"/>
  <c r="B44" i="2" s="1"/>
  <c r="B45" i="2" s="1"/>
  <c r="B48" i="2" s="1"/>
  <c r="B49" i="2" s="1"/>
  <c r="B55" i="2" s="1"/>
  <c r="B61" i="2" s="1"/>
  <c r="H24" i="1"/>
  <c r="L24" i="1" s="1"/>
  <c r="M24" i="1" l="1"/>
  <c r="N24" i="1" s="1"/>
  <c r="H22" i="1"/>
  <c r="L22" i="1" s="1"/>
  <c r="M22" i="1" l="1"/>
  <c r="N22" i="1" s="1"/>
  <c r="H21" i="1" l="1"/>
  <c r="L26" i="1" l="1"/>
  <c r="M26" i="1"/>
  <c r="B10" i="1" l="1"/>
  <c r="B281" i="1"/>
  <c r="B280" i="1"/>
  <c r="B279" i="1"/>
  <c r="H16" i="1"/>
  <c r="M16" i="1" s="1"/>
  <c r="H15" i="1"/>
  <c r="M15" i="1" s="1"/>
  <c r="H14" i="1"/>
  <c r="L14" i="1" s="1"/>
  <c r="H13" i="1"/>
  <c r="M13" i="1" s="1"/>
  <c r="H12" i="1"/>
  <c r="M12" i="1" s="1"/>
  <c r="H11" i="1"/>
  <c r="M11" i="1" s="1"/>
  <c r="H10" i="1"/>
  <c r="L10" i="1" s="1"/>
  <c r="B11" i="1" l="1"/>
  <c r="L13" i="1"/>
  <c r="N13" i="1" s="1"/>
  <c r="L15" i="1"/>
  <c r="N15" i="1" s="1"/>
  <c r="L11" i="1"/>
  <c r="N11" i="1" s="1"/>
  <c r="M10" i="1"/>
  <c r="N10" i="1" s="1"/>
  <c r="L12" i="1"/>
  <c r="N12" i="1" s="1"/>
  <c r="L16" i="1"/>
  <c r="M14" i="1"/>
  <c r="N14" i="1" s="1"/>
  <c r="B12" i="1" l="1"/>
  <c r="L17" i="1"/>
  <c r="N16" i="1"/>
  <c r="N17" i="1" s="1"/>
  <c r="B13" i="1" l="1"/>
  <c r="B14" i="1" l="1"/>
  <c r="N280" i="1"/>
  <c r="N281" i="1" s="1"/>
  <c r="M3" i="1"/>
  <c r="B15" i="1" l="1"/>
  <c r="M4" i="1"/>
  <c r="M6" i="1"/>
  <c r="B16" i="1" l="1"/>
  <c r="B21" i="1" l="1"/>
  <c r="B22" i="1" s="1"/>
  <c r="B23" i="1" s="1"/>
  <c r="B24" i="1" s="1"/>
  <c r="B30" i="1" s="1"/>
  <c r="B31" i="1" s="1"/>
  <c r="B32" i="1" s="1"/>
  <c r="B33" i="1" s="1"/>
  <c r="B39" i="1" s="1"/>
  <c r="B41" i="1" s="1"/>
  <c r="B42" i="1" s="1"/>
  <c r="B44" i="1" s="1"/>
  <c r="B47" i="1" s="1"/>
  <c r="B48" i="1" s="1"/>
  <c r="B51" i="1" s="1"/>
  <c r="B52" i="1" s="1"/>
  <c r="B55" i="1" s="1"/>
  <c r="B58" i="1" s="1"/>
  <c r="B59" i="1" s="1"/>
  <c r="B60" i="1" s="1"/>
  <c r="B61" i="1" s="1"/>
  <c r="B67" i="1" s="1"/>
  <c r="B73" i="1" s="1"/>
  <c r="B76" i="1" l="1"/>
  <c r="B82" i="1" s="1"/>
  <c r="B83" i="1" s="1"/>
  <c r="B84" i="1" s="1"/>
  <c r="B85" i="1" s="1"/>
  <c r="B86" i="1" s="1"/>
  <c r="B87" i="1" s="1"/>
  <c r="B88" i="1" s="1"/>
  <c r="B89" i="1" s="1"/>
  <c r="B92" i="1" s="1"/>
  <c r="B95" i="1" s="1"/>
  <c r="B102" i="1" s="1"/>
  <c r="B103" i="1" s="1"/>
  <c r="B104" i="1" s="1"/>
  <c r="B105" i="1" s="1"/>
  <c r="B106" i="1" s="1"/>
  <c r="B109" i="1" s="1"/>
  <c r="B110" i="1" s="1"/>
  <c r="B111" i="1" s="1"/>
  <c r="B112" i="1" s="1"/>
  <c r="B113" i="1" s="1"/>
  <c r="B114" i="1" s="1"/>
  <c r="B117" i="1" s="1"/>
  <c r="B118" i="1" s="1"/>
  <c r="B119" i="1" s="1"/>
  <c r="B120" i="1" s="1"/>
  <c r="B121" i="1" s="1"/>
  <c r="B124" i="1" s="1"/>
  <c r="B125" i="1" s="1"/>
  <c r="B126" i="1" s="1"/>
  <c r="B127" i="1" s="1"/>
  <c r="B128" i="1" s="1"/>
  <c r="B131" i="1" s="1"/>
  <c r="B132" i="1" s="1"/>
  <c r="B133" i="1" s="1"/>
  <c r="B134" i="1" s="1"/>
  <c r="B135" i="1" s="1"/>
  <c r="B138" i="1" s="1"/>
  <c r="B139" i="1" s="1"/>
  <c r="B140" i="1" s="1"/>
  <c r="B141" i="1" s="1"/>
  <c r="B142" i="1" s="1"/>
  <c r="B143" i="1" s="1"/>
  <c r="B146" i="1" s="1"/>
  <c r="B147" i="1" s="1"/>
  <c r="B148" i="1" s="1"/>
  <c r="B149" i="1" s="1"/>
  <c r="B150" i="1" s="1"/>
  <c r="B153" i="1" s="1"/>
  <c r="B154" i="1" s="1"/>
  <c r="B155" i="1" s="1"/>
  <c r="B158" i="1" s="1"/>
  <c r="B159" i="1" s="1"/>
  <c r="B160" i="1" s="1"/>
  <c r="B163" i="1" s="1"/>
  <c r="B164" i="1" s="1"/>
  <c r="B165" i="1" s="1"/>
  <c r="B167" i="1" s="1"/>
  <c r="B168" i="1" s="1"/>
  <c r="B169" i="1" s="1"/>
  <c r="B172" i="1" s="1"/>
  <c r="B173" i="1" s="1"/>
  <c r="B175" i="1" s="1"/>
  <c r="B177" i="1" s="1"/>
  <c r="B178" i="1" s="1"/>
  <c r="B179" i="1" s="1"/>
  <c r="B182" i="1" s="1"/>
  <c r="B183" i="1" s="1"/>
  <c r="B186" i="1" s="1"/>
  <c r="B189" i="1" s="1"/>
  <c r="B195" i="1" s="1"/>
  <c r="B196" i="1" s="1"/>
  <c r="B199" i="1" s="1"/>
  <c r="B200" i="1" s="1"/>
  <c r="B201" i="1" s="1"/>
  <c r="B202" i="1" s="1"/>
  <c r="B203" i="1" s="1"/>
  <c r="B204" i="1" s="1"/>
  <c r="B205" i="1" s="1"/>
  <c r="B211" i="1" s="1"/>
  <c r="B212" i="1" s="1"/>
  <c r="B213" i="1" s="1"/>
  <c r="B214" i="1" s="1"/>
  <c r="B215" i="1" s="1"/>
  <c r="B216" i="1" s="1"/>
  <c r="B217" i="1" s="1"/>
  <c r="B218" i="1" s="1"/>
  <c r="B219" i="1" s="1"/>
  <c r="B220" i="1" s="1"/>
  <c r="B221" i="1" s="1"/>
  <c r="B222" i="1" s="1"/>
  <c r="B223" i="1" s="1"/>
  <c r="B224" i="1" s="1"/>
  <c r="B225" i="1" s="1"/>
  <c r="B226" i="1" s="1"/>
  <c r="B227" i="1" s="1"/>
  <c r="B228" i="1" s="1"/>
  <c r="B229" i="1" s="1"/>
  <c r="B230" i="1" s="1"/>
  <c r="B231" i="1" s="1"/>
  <c r="B232" i="1" s="1"/>
  <c r="B233" i="1" s="1"/>
  <c r="B234" i="1" s="1"/>
  <c r="B235" i="1" s="1"/>
  <c r="B236" i="1" s="1"/>
  <c r="B237" i="1" s="1"/>
  <c r="B238" i="1" s="1"/>
  <c r="B244" i="1" s="1"/>
  <c r="B245" i="1" s="1"/>
  <c r="B246" i="1" s="1"/>
  <c r="B247" i="1" s="1"/>
  <c r="B248" i="1" s="1"/>
  <c r="B249" i="1" s="1"/>
  <c r="B250" i="1" s="1"/>
  <c r="B253" i="1" s="1"/>
  <c r="B254" i="1" s="1"/>
  <c r="B257" i="1" s="1"/>
  <c r="B263" i="1" s="1"/>
  <c r="B264" i="1" s="1"/>
  <c r="B265" i="1" s="1"/>
  <c r="B266" i="1" s="1"/>
  <c r="B267" i="1" s="1"/>
  <c r="B270" i="1" s="1"/>
  <c r="B276" i="1" s="1"/>
</calcChain>
</file>

<file path=xl/sharedStrings.xml><?xml version="1.0" encoding="utf-8"?>
<sst xmlns="http://schemas.openxmlformats.org/spreadsheetml/2006/main" count="891" uniqueCount="244">
  <si>
    <t>AMOUNT</t>
  </si>
  <si>
    <t>PROJECT:</t>
  </si>
  <si>
    <t>Subtotal</t>
  </si>
  <si>
    <t>Over &amp; Profit</t>
  </si>
  <si>
    <t>LOCATION:</t>
  </si>
  <si>
    <t>Total</t>
  </si>
  <si>
    <t>S#</t>
  </si>
  <si>
    <t>Dwg.</t>
  </si>
  <si>
    <t>CSI NO</t>
  </si>
  <si>
    <t>DESCRIPTION</t>
  </si>
  <si>
    <t>QTY.</t>
  </si>
  <si>
    <t>Wastage</t>
  </si>
  <si>
    <t>Qty w/ Waste</t>
  </si>
  <si>
    <t>UNIT</t>
  </si>
  <si>
    <t>UNIT LABOR COST</t>
  </si>
  <si>
    <t>UNIT MATERIAL
COST</t>
  </si>
  <si>
    <t>TOTAL LABOR COST</t>
  </si>
  <si>
    <t>TOTAL MATERIAL
COST</t>
  </si>
  <si>
    <t>TOTAL COST</t>
  </si>
  <si>
    <t>DIVISION 01-GENERAL REQUIREMENTS</t>
  </si>
  <si>
    <t>See Spec.</t>
  </si>
  <si>
    <t>Mobilization</t>
  </si>
  <si>
    <t>LS</t>
  </si>
  <si>
    <t>Supervision</t>
  </si>
  <si>
    <t>Office overheads</t>
  </si>
  <si>
    <t>Temporary facilities and controls</t>
  </si>
  <si>
    <t>Project Closeouts</t>
  </si>
  <si>
    <t>Submittal and approval</t>
  </si>
  <si>
    <t/>
  </si>
  <si>
    <t>EA</t>
  </si>
  <si>
    <t>SF</t>
  </si>
  <si>
    <t>TOTAL AMOUNT</t>
  </si>
  <si>
    <t>OVERHEAD AND PROFIT (25%)</t>
  </si>
  <si>
    <t>TOTAL BASEBID</t>
  </si>
  <si>
    <t>NOTES:</t>
  </si>
  <si>
    <t>Furnish &amp; Installation</t>
  </si>
  <si>
    <t>Non-union Wage Rates Are Used</t>
  </si>
  <si>
    <t>MISC ITEMS</t>
  </si>
  <si>
    <t>LF</t>
  </si>
  <si>
    <t>DIVISION 02 — DEMOLITION</t>
  </si>
  <si>
    <t>DIVISION 26 — ELECTRICAL</t>
  </si>
  <si>
    <t>LBS</t>
  </si>
  <si>
    <t>DEMOLITION</t>
  </si>
  <si>
    <t>DIVISION 09 — FINISHES</t>
  </si>
  <si>
    <t>FLOORING</t>
  </si>
  <si>
    <t>DIVISION 12 — FURNISHINGS</t>
  </si>
  <si>
    <t>FURNITURE</t>
  </si>
  <si>
    <t>COUNTERTOP</t>
  </si>
  <si>
    <t>DIVISION 08 — OPENINGS</t>
  </si>
  <si>
    <t>DOORS</t>
  </si>
  <si>
    <t>DOOR PAINT</t>
  </si>
  <si>
    <t>WALL PAINT</t>
  </si>
  <si>
    <t>BASE</t>
  </si>
  <si>
    <t>TILES</t>
  </si>
  <si>
    <t>DIVISION 28 — ELECTRONIC SAFETY &amp; SECURITY</t>
  </si>
  <si>
    <t>PARTITION WALLS</t>
  </si>
  <si>
    <t>DIVISION 22 — PLUMBING</t>
  </si>
  <si>
    <t>PLUMBING FIXTURES</t>
  </si>
  <si>
    <t>CEILING</t>
  </si>
  <si>
    <t>CEILING PAINT</t>
  </si>
  <si>
    <t>5/8" Type X Gypsum Board On Both Sides</t>
  </si>
  <si>
    <t>Sealant</t>
  </si>
  <si>
    <t>5/8" Moisture Resistant Gypsum Board On One Side</t>
  </si>
  <si>
    <t>5/8" Type X Gypsum Board On One Side</t>
  </si>
  <si>
    <t>6" X 16GA Metal Studs @ 16" O.C.</t>
  </si>
  <si>
    <t>6" X 16GA Top &amp; Bottom Tracks</t>
  </si>
  <si>
    <t>CABINETS</t>
  </si>
  <si>
    <t>DOOR HARDWARE</t>
  </si>
  <si>
    <t>Single Door Hardware</t>
  </si>
  <si>
    <t>Taping</t>
  </si>
  <si>
    <t>Mudding</t>
  </si>
  <si>
    <t>Drywall Screws</t>
  </si>
  <si>
    <t>5/8" Gypsum Board Ceiling</t>
  </si>
  <si>
    <t>5/8" Moisture Resistant Gypsum Board Ceiling</t>
  </si>
  <si>
    <t>3-5/8" X 20GA Metal Studs @ 16" O.C.</t>
  </si>
  <si>
    <t>TRIM</t>
  </si>
  <si>
    <t>Door Trim</t>
  </si>
  <si>
    <t>Paint On Door Trim</t>
  </si>
  <si>
    <t>Paint On New Gypsum Board Ceiling</t>
  </si>
  <si>
    <t>SENORITAS SPORTS BAR LLC</t>
  </si>
  <si>
    <t>2303 HIGHWAY 36, STE#D SEALY, TX 77474</t>
  </si>
  <si>
    <t>Remove Storefront Glass &amp; Mullion</t>
  </si>
  <si>
    <t>Saw Cut 8" Thk CMU Wall</t>
  </si>
  <si>
    <t>(4'-9" X 3') Single Patio Door - ND8</t>
  </si>
  <si>
    <t>WINDOW</t>
  </si>
  <si>
    <t>(3'-6" X 6'-10") Laminated Flass Panel Door - ND1</t>
  </si>
  <si>
    <t>(3' X 7') Interior Two Way Swing Door - ND2</t>
  </si>
  <si>
    <t>(3' X 7') Interior Two Way Swing Door - ND3</t>
  </si>
  <si>
    <t>(3' X 7') Interior Single Door - ND4</t>
  </si>
  <si>
    <t>(3' X 7') Interior Single Door - ND5</t>
  </si>
  <si>
    <t>(2' X 6'-8") Interior Single Door - ND6</t>
  </si>
  <si>
    <t>(2'-8" X 6'-8") Interior Single Door - ND7</t>
  </si>
  <si>
    <t>(14'-10" H) Wall Type W3</t>
  </si>
  <si>
    <t>(14'-10" H) Wall Type W3 - G.B.1</t>
  </si>
  <si>
    <t>(13'-6" H) Wall Type W3</t>
  </si>
  <si>
    <t>(42" H) Wall Type W4</t>
  </si>
  <si>
    <t>(8' H) Wall Type W2</t>
  </si>
  <si>
    <t>(8' H) Wall Type W2 (G.B.1)</t>
  </si>
  <si>
    <t>(8' H) Wall Type W2 (G.B.2)</t>
  </si>
  <si>
    <t>Floor Drain</t>
  </si>
  <si>
    <t>(30" Wide) 1-1/4" Thk Top-Marble/Wooden Countertop</t>
  </si>
  <si>
    <t>Hardwood Flooring</t>
  </si>
  <si>
    <t>Tile Flooring</t>
  </si>
  <si>
    <t>(4" H) Wood Base</t>
  </si>
  <si>
    <t>(24' H) Wall Type W1</t>
  </si>
  <si>
    <t>(16' H) Wall Type W1</t>
  </si>
  <si>
    <t>(8' H) Wall Type W1</t>
  </si>
  <si>
    <t>(16' H) Wall Paint</t>
  </si>
  <si>
    <t>(14'-10" H) Wall Paint</t>
  </si>
  <si>
    <t>(13'-6" H) Wall Paint</t>
  </si>
  <si>
    <t>(42"' H) Wall Paint</t>
  </si>
  <si>
    <t>(24' H) Wall Paint</t>
  </si>
  <si>
    <t>(8' H) Wall Paint</t>
  </si>
  <si>
    <t>(5' H) Wall Tiles</t>
  </si>
  <si>
    <t>Paint On Exposed Structure</t>
  </si>
  <si>
    <t>(24" Wide) Base Cabinets</t>
  </si>
  <si>
    <t>(24" Wide) Bath Countertop</t>
  </si>
  <si>
    <t>DIVISION 10 — SPECIALITIES</t>
  </si>
  <si>
    <t>TOILET PARTITIONS</t>
  </si>
  <si>
    <t>Urinal Partition</t>
  </si>
  <si>
    <t>Moveable 36"x36" Dining Table W/4 Chairs - 15</t>
  </si>
  <si>
    <t>Stage Chair For Performers - 23</t>
  </si>
  <si>
    <t>(14" Wide) Shelving Storage</t>
  </si>
  <si>
    <t>(16" Wide) Wall Shelf</t>
  </si>
  <si>
    <t>Industrial Standard Bar Overhead Shelf (9' X 4'-5") - 24</t>
  </si>
  <si>
    <t>(29" X 32") Bar Stool - 16</t>
  </si>
  <si>
    <t>EQUIPMENT/APPLIANCES</t>
  </si>
  <si>
    <t>Advance Tabco PRSJT-12-DR Prestige Trash Receptacle Cabinet W/Door 12" Wide - 36</t>
  </si>
  <si>
    <t>Kratos 24"x48" Stainless Steel Bear Box W/3" Backsplash - 35</t>
  </si>
  <si>
    <t>Krownce KR19-1C 12" Wide Underbar hand Sink W/Faucet - 25</t>
  </si>
  <si>
    <t>Krownce KR19-36DP 36" W Insulated Bar Ice Bin 19" Deep W/15" Bin Depth - 29</t>
  </si>
  <si>
    <t>Kratos 3 Bowl Underbar Compartment Sink - 38.5" X 18.75" - 33</t>
  </si>
  <si>
    <t>Krownce KR19-30DP 30" W Insulated Bar Ice Bin 19" Deep W/15" Bin Depth - 29A</t>
  </si>
  <si>
    <t>Kratos 36" Five-Tiered Stainless Steel Liquor Display 23" Deep - 38</t>
  </si>
  <si>
    <t>Avantco UVV-72G-HC 73" Black Counter Height Narrow Glass Door Back bar Refrigerator W/LED Lighting - 37</t>
  </si>
  <si>
    <t>Beverage-Air BB72HC-1-GS-PT-B 72" Black Underbar Height Glass Door Pass Through Back bar Refrigerator - 30</t>
  </si>
  <si>
    <t>Kratos 29Y-012-NAT Commercial Gas Floor Fryer, Five Burners, 70 to 100lb. Capacity Natural gas - 03</t>
  </si>
  <si>
    <t>Captiveaire Exhaust Hood ND-2BD-2/SND-Self-Cleaning Hood - 27</t>
  </si>
  <si>
    <t>MoTak MCO-1SGL Single Full Size Convertible Gas Convection Oven - 54,000 BTU - 04</t>
  </si>
  <si>
    <t>Commercial Hand Sink - 09</t>
  </si>
  <si>
    <t>Avantco CBE-84-HC 84" 4 Drawer Refrigerated Chef Base - 11</t>
  </si>
  <si>
    <t>Avantco APT-84-HC 47" 2 Door Refrigerated Sandwich Prep Table - 10</t>
  </si>
  <si>
    <t>MOP Sink</t>
  </si>
  <si>
    <t>Eagle Group DTC-48LR-16/3 16 Gauge Stainless Steel Left to Right Soil/Clean Dishable Package - 06</t>
  </si>
  <si>
    <t>Rheem - IKONIC 199 MBH High Efficient Door Indoor Condensing Natural gas Tankless Water Heater - 26</t>
  </si>
  <si>
    <t>Harmony Series 48000 Grain Digital Metered Water Softener - 07</t>
  </si>
  <si>
    <t>One Manual Urinal System W/0.125 GPF Flush Valve - 21</t>
  </si>
  <si>
    <t>American Stairways or FARKO Ladders - 19</t>
  </si>
  <si>
    <t>Nameeks Elite 47-1/4" Rectangular Ceramic Wall Mount/Drop In bathroom Sink W/Overflow &amp; Single Faucet Hole Per Basin - 20</t>
  </si>
  <si>
    <t>TOILET ACCESSORIES</t>
  </si>
  <si>
    <t>(48" X 24") Mirror - A</t>
  </si>
  <si>
    <t>(18" Long) Grab Bar - C</t>
  </si>
  <si>
    <t>(42" Long) Grab Bar</t>
  </si>
  <si>
    <t>Tissue Dispenser</t>
  </si>
  <si>
    <t>(36" Long) Grab Bar</t>
  </si>
  <si>
    <t>ADA Compliant Infant Changing Station</t>
  </si>
  <si>
    <t>Soap Dispenser</t>
  </si>
  <si>
    <t>DIVISION 07 — THERMAL &amp; MOISTURE PROTECTION</t>
  </si>
  <si>
    <t>ROOFING</t>
  </si>
  <si>
    <t>(5" X 5") Rain Gutter</t>
  </si>
  <si>
    <t>DIVISION 05 — METALS</t>
  </si>
  <si>
    <t>COLUMN</t>
  </si>
  <si>
    <t>DIVISION 03 — CONCRETE</t>
  </si>
  <si>
    <t>CONCRETE SLAB</t>
  </si>
  <si>
    <t>(5" ThK) Concrete Slab Infill</t>
  </si>
  <si>
    <t>#4 X 24" Long Rebar Drill &amp; Epoxy @ 24" O.C.</t>
  </si>
  <si>
    <t>BEAM</t>
  </si>
  <si>
    <t>HSS6x5x1/2" Beam</t>
  </si>
  <si>
    <t>C6x8.2 Beam</t>
  </si>
  <si>
    <t>JOISTS</t>
  </si>
  <si>
    <t>600S250-54 Joists @ 12" O.C.</t>
  </si>
  <si>
    <t>DECK</t>
  </si>
  <si>
    <t>1-1/2" X 18GA Metal Roof Deck</t>
  </si>
  <si>
    <t>600S250-54 Joists</t>
  </si>
  <si>
    <t>L4x3x1/4" Angle</t>
  </si>
  <si>
    <t>Remove Metal Deck</t>
  </si>
  <si>
    <t>DIVISION 06 — WOOD, PLASTICS &amp; COMPOSITES</t>
  </si>
  <si>
    <t>SHEATHING</t>
  </si>
  <si>
    <t>3-1/2" Sound Batt Insulation</t>
  </si>
  <si>
    <t>6" X 18GA Metal Studs @ 16" O.C.</t>
  </si>
  <si>
    <t>6" X 18GA Top &amp; Bottom Tracks</t>
  </si>
  <si>
    <t>1/2" Thk Plywood Sheathing On Both Sides</t>
  </si>
  <si>
    <t>5/8" Green Gypsum Board On Both Sides</t>
  </si>
  <si>
    <t>(9" X 14" X 3/4" Thk) Base Plate - BP1</t>
  </si>
  <si>
    <t>(9" X 12" X 3/4" Thk) Base Plate - BP2</t>
  </si>
  <si>
    <t>CY</t>
  </si>
  <si>
    <t>6x6-W2.9xW2.9</t>
  </si>
  <si>
    <t>10 MIL Vapor Barrier</t>
  </si>
  <si>
    <t>(3/4" Thk) APA Rated Plywood Floor Sheathing</t>
  </si>
  <si>
    <t>(5" X 5" X 1/2" Thk) Cap Plate</t>
  </si>
  <si>
    <t>1/4" Thk Bent Plate</t>
  </si>
  <si>
    <t>4" X 4" X 4" X 1/4" Thk Angle Plate</t>
  </si>
  <si>
    <t>1/4" X 3" X 5" Side Plate</t>
  </si>
  <si>
    <t>A102A</t>
  </si>
  <si>
    <t>S103</t>
  </si>
  <si>
    <t>S101</t>
  </si>
  <si>
    <t>HSS5x5x1/2" Column - 10EA</t>
  </si>
  <si>
    <t>S102</t>
  </si>
  <si>
    <t>S102, S106</t>
  </si>
  <si>
    <t>A105</t>
  </si>
  <si>
    <t>A103</t>
  </si>
  <si>
    <t>Window Trim</t>
  </si>
  <si>
    <t>Paint On (2' X 6'-8") Interior Single Door - ND6</t>
  </si>
  <si>
    <t>Paint On (2'-8" X 6'-8") Interior Single Door - ND7</t>
  </si>
  <si>
    <t>Paint On (3' X 7') Interior Single Door - ND4</t>
  </si>
  <si>
    <t>Paint On (3' X 7') Interior Single Door - ND5</t>
  </si>
  <si>
    <t>Paint On (3' X 7') Interior Two Way Swing Door - ND2</t>
  </si>
  <si>
    <t>Paint On (3' X 7') Interior Two Way Swing Door - ND3</t>
  </si>
  <si>
    <t>Paint On (3'-6" X 6'-10") Laminated Flass Panel Door - ND1</t>
  </si>
  <si>
    <t>Paint On (4'-9" X 3') Single Patio Door - ND8</t>
  </si>
  <si>
    <t>(3' H) Wall Paint</t>
  </si>
  <si>
    <t>MISC PAINT</t>
  </si>
  <si>
    <t>Paint On Window Trim</t>
  </si>
  <si>
    <t>(6' H) Toilet Partition</t>
  </si>
  <si>
    <t>A107</t>
  </si>
  <si>
    <t>A104, A104A</t>
  </si>
  <si>
    <t>ALLOWANCES</t>
  </si>
  <si>
    <t>Allowance For Plumbing Water, Waste &amp; vent Pipes</t>
  </si>
  <si>
    <t>ALLOWANCE</t>
  </si>
  <si>
    <t>Allowance For Electrical Lighting, Power &amp; Other Items</t>
  </si>
  <si>
    <t>Allowance For Electronic Safety &amp; Security Items.</t>
  </si>
  <si>
    <t>Remove 8" Thk CMU Wall</t>
  </si>
  <si>
    <t>(8'-2" X 3'-6") Flip out Window - NW1</t>
  </si>
  <si>
    <t>Ecolab E-UHT High Temperature Under counter Dish machine - 34</t>
  </si>
  <si>
    <t>Krownce Metal KR19-C24L Royal Series 19" X 24" Corner Drain board W/Left Return - 31</t>
  </si>
  <si>
    <t>Glastender C-DBCB-24-LD Choice Underbar Drain board, Open Front Cabinet Base, 24"W X 24" D - 32</t>
  </si>
  <si>
    <t>South bend S60DD-2GR - Economy Commercial Gas Range - 6Burners, 2Standard Ovens, 24" Griddle, Liquid Propane, Griddle Right - 01</t>
  </si>
  <si>
    <t>Star 8172RCBB Ultra-Max 72" Wide Countertop Radiant Gas Char boiler - 02</t>
  </si>
  <si>
    <t>Falcon Food Service E3C-18X18-2-18 18" X 18" (3) Compartment Stainless Steel Commercial Sink - 13</t>
  </si>
  <si>
    <t>Regency 30" X 84" 18-Gauge 304 Stainless Steel Commercial Work Table W/Galvanized Legs &amp; Under shelf - 12</t>
  </si>
  <si>
    <t>Eurodib L21EKS Lamber High Temp Door Type Dishwasher W/30 Rack/hr. Capacity, Built In Booster, 208-240v/1ph - 28</t>
  </si>
  <si>
    <t>Hoshikazi KM-1301SAJ3/B-800SF 1427 lb. KM Series Crescent Cube Ice Machine W/Bin - 800lb Storage, Air Cooled, 208-230v - 08</t>
  </si>
  <si>
    <t>Fixed (24" X 48") Dining Table W/2Seater 2 Restaurant Dining Sofa - 18</t>
  </si>
  <si>
    <t>Silence Floor Mounted Comfort Height Commercial Elongated Top Flush Spud Flush meter Toilet Bowl Only In Glossy White - 22</t>
  </si>
  <si>
    <t>DIVISION 21 — FIRE SPRINKLER</t>
  </si>
  <si>
    <t>Allowance For Fire Sprinkler System</t>
  </si>
  <si>
    <t>SEALANT</t>
  </si>
  <si>
    <t>Joint Sealant</t>
  </si>
  <si>
    <r>
      <t xml:space="preserve">DIVISION 11 — EQUIPMENTS </t>
    </r>
    <r>
      <rPr>
        <b/>
        <sz val="12"/>
        <color rgb="FFFF0000"/>
        <rFont val="Calibri"/>
        <family val="2"/>
      </rPr>
      <t>- PLEASE VERIFY THE PRICES</t>
    </r>
  </si>
  <si>
    <t>OVERHEAD AND PROFIT (28%)</t>
  </si>
  <si>
    <t>SR #</t>
  </si>
  <si>
    <t>BASE BID</t>
  </si>
  <si>
    <t>DEFERRED SUBMITTAL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</si>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</sst>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"/>
    <numFmt numFmtId="165" formatCode="000000"/>
    <numFmt numFmtId="166" formatCode="_(&quot;$&quot;* #,##0.0_);_(&quot;$&quot;* \(#,##0.0\);_(&quot;$&quot;* &quot;-&quot;??_);_(@_)"/>
    <numFmt numFmtId="167" formatCode="_(&quot;$&quot;* #,##0_);_(&quot;$&quot;* \(#,##0\);_(&quot;$&quot;* &quot;-&quot;??_);_(@_)"/>
    <numFmt numFmtId="168" formatCode="&quot;$&quot;#,##0.00"/>
  </numFmts>
  <fonts count="25" x14ac:knownFonts="1">
    <font>
      <sz val="11"/>
      <color rgb="FF000000"/>
      <name val="Calibri"/>
      <scheme val="minor"/>
    </font>
    <font>
      <sz val="12"/>
      <color rgb="FF000000"/>
      <name val="Calibri"/>
      <family val="2"/>
    </font>
    <font>
      <sz val="11"/>
      <name val="Arial"/>
      <family val="2"/>
    </font>
    <font>
      <sz val="12"/>
      <name val="Calibri"/>
      <family val="2"/>
    </font>
    <font>
      <sz val="11"/>
      <name val="Calibri"/>
      <family val="2"/>
    </font>
    <font>
      <b/>
      <sz val="12"/>
      <name val="Calibri"/>
      <family val="2"/>
    </font>
    <font>
      <b/>
      <sz val="12"/>
      <color rgb="FF1E4E79"/>
      <name val="Calibri"/>
      <family val="2"/>
    </font>
    <font>
      <sz val="12"/>
      <color rgb="FFFFFFFF"/>
      <name val="Calibri"/>
      <family val="2"/>
    </font>
    <font>
      <b/>
      <sz val="12"/>
      <color rgb="FFFFFFFF"/>
      <name val="Calibri"/>
      <family val="2"/>
    </font>
    <font>
      <b/>
      <sz val="12"/>
      <color rgb="FF000000"/>
      <name val="Calibri"/>
      <family val="2"/>
    </font>
    <font>
      <sz val="12"/>
      <color rgb="FF0C0C0C"/>
      <name val="Calibri"/>
      <family val="2"/>
    </font>
    <font>
      <b/>
      <sz val="12"/>
      <color rgb="FF0C0C0C"/>
      <name val="Calibri"/>
      <family val="2"/>
    </font>
    <font>
      <sz val="11"/>
      <name val="Calibri"/>
      <family val="2"/>
    </font>
    <font>
      <sz val="12"/>
      <color theme="2"/>
      <name val="Calibri"/>
      <family val="2"/>
    </font>
    <font>
      <b/>
      <sz val="12"/>
      <color theme="2"/>
      <name val="Calibri"/>
      <family val="2"/>
    </font>
    <font>
      <sz val="11"/>
      <color theme="2"/>
      <name val="Calibri"/>
      <family val="2"/>
    </font>
    <font>
      <sz val="8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11"/>
      <name val="Calibri"/>
      <family val="2"/>
      <scheme val="minor"/>
    </font>
    <font>
      <sz val="12"/>
      <name val="Arial"/>
      <family val="2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2"/>
      <color rgb="FFFF0000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333F4F"/>
        <bgColor rgb="FF333F4F"/>
      </patternFill>
    </fill>
    <fill>
      <patternFill patternType="solid">
        <fgColor rgb="FF366092"/>
        <bgColor rgb="FF366092"/>
      </patternFill>
    </fill>
    <fill>
      <patternFill patternType="solid">
        <fgColor rgb="FFDAEEF3"/>
        <bgColor rgb="FFDAEEF3"/>
      </patternFill>
    </fill>
    <fill>
      <patternFill patternType="solid">
        <fgColor rgb="FFF2F2F2"/>
        <bgColor rgb="FFF2F2F2"/>
      </patternFill>
    </fill>
    <fill>
      <patternFill patternType="solid">
        <fgColor rgb="FFB6DDE8"/>
        <bgColor rgb="FFB6DDE8"/>
      </patternFill>
    </fill>
    <fill>
      <patternFill patternType="solid">
        <fgColor rgb="FF92CDDC"/>
        <bgColor rgb="FF92CDDC"/>
      </patternFill>
    </fill>
    <fill>
      <patternFill patternType="solid">
        <fgColor theme="0" tint="-4.9989318521683403E-2"/>
        <bgColor rgb="FFF2F2F2"/>
      </patternFill>
    </fill>
    <fill>
      <patternFill patternType="solid">
        <fgColor theme="4" tint="0.59999389629810485"/>
        <bgColor indexed="64"/>
      </patternFill>
    </fill>
  </fills>
  <borders count="52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rgb="FF000000"/>
      </top>
      <bottom/>
      <diagonal/>
    </border>
    <border>
      <left/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21" fillId="0" borderId="5" applyFont="0" applyFill="0" applyBorder="0" applyAlignment="0" applyProtection="0"/>
    <xf numFmtId="44" fontId="22" fillId="0" borderId="0" applyFont="0" applyFill="0" applyBorder="0" applyAlignment="0" applyProtection="0"/>
  </cellStyleXfs>
  <cellXfs count="15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165" fontId="7" fillId="4" borderId="10" xfId="0" applyNumberFormat="1" applyFont="1" applyFill="1" applyBorder="1" applyAlignment="1">
      <alignment horizontal="center" vertical="center" wrapText="1"/>
    </xf>
    <xf numFmtId="0" fontId="8" fillId="4" borderId="10" xfId="0" applyFont="1" applyFill="1" applyBorder="1" applyAlignment="1">
      <alignment horizontal="left" vertical="center" wrapText="1"/>
    </xf>
    <xf numFmtId="0" fontId="1" fillId="0" borderId="0" xfId="0" applyFont="1" applyAlignment="1">
      <alignment wrapText="1"/>
    </xf>
    <xf numFmtId="0" fontId="9" fillId="0" borderId="12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left" vertical="center" wrapText="1"/>
    </xf>
    <xf numFmtId="1" fontId="1" fillId="0" borderId="12" xfId="0" applyNumberFormat="1" applyFont="1" applyBorder="1" applyAlignment="1">
      <alignment horizontal="center" vertical="center"/>
    </xf>
    <xf numFmtId="9" fontId="10" fillId="0" borderId="12" xfId="0" applyNumberFormat="1" applyFont="1" applyBorder="1" applyAlignment="1">
      <alignment horizontal="center" vertical="center"/>
    </xf>
    <xf numFmtId="1" fontId="10" fillId="0" borderId="12" xfId="0" applyNumberFormat="1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166" fontId="3" fillId="0" borderId="12" xfId="0" applyNumberFormat="1" applyFont="1" applyBorder="1" applyAlignment="1">
      <alignment horizontal="left" vertical="center"/>
    </xf>
    <xf numFmtId="166" fontId="3" fillId="0" borderId="12" xfId="0" applyNumberFormat="1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9" fillId="0" borderId="12" xfId="0" applyFont="1" applyBorder="1" applyAlignment="1">
      <alignment horizontal="right" vertical="center" wrapText="1"/>
    </xf>
    <xf numFmtId="166" fontId="10" fillId="0" borderId="12" xfId="0" applyNumberFormat="1" applyFont="1" applyBorder="1" applyAlignment="1">
      <alignment horizontal="center" vertical="center"/>
    </xf>
    <xf numFmtId="166" fontId="11" fillId="0" borderId="12" xfId="0" applyNumberFormat="1" applyFont="1" applyBorder="1" applyAlignment="1">
      <alignment horizontal="center" vertical="center"/>
    </xf>
    <xf numFmtId="165" fontId="7" fillId="4" borderId="12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44" fontId="5" fillId="0" borderId="12" xfId="0" applyNumberFormat="1" applyFont="1" applyBorder="1" applyAlignment="1">
      <alignment horizontal="center" vertical="center"/>
    </xf>
    <xf numFmtId="44" fontId="3" fillId="0" borderId="12" xfId="0" applyNumberFormat="1" applyFont="1" applyBorder="1" applyAlignment="1">
      <alignment horizontal="center" vertical="center"/>
    </xf>
    <xf numFmtId="0" fontId="5" fillId="6" borderId="12" xfId="0" applyFont="1" applyFill="1" applyBorder="1" applyAlignment="1">
      <alignment horizontal="center" vertical="center"/>
    </xf>
    <xf numFmtId="9" fontId="3" fillId="0" borderId="12" xfId="0" applyNumberFormat="1" applyFont="1" applyBorder="1" applyAlignment="1">
      <alignment horizontal="center" vertical="center"/>
    </xf>
    <xf numFmtId="37" fontId="3" fillId="0" borderId="12" xfId="0" applyNumberFormat="1" applyFont="1" applyBorder="1" applyAlignment="1">
      <alignment horizontal="center" vertical="center"/>
    </xf>
    <xf numFmtId="0" fontId="12" fillId="0" borderId="0" xfId="0" applyFont="1"/>
    <xf numFmtId="167" fontId="3" fillId="0" borderId="12" xfId="0" applyNumberFormat="1" applyFont="1" applyBorder="1" applyAlignment="1">
      <alignment horizontal="center" vertical="center"/>
    </xf>
    <xf numFmtId="0" fontId="3" fillId="0" borderId="0" xfId="0" applyFont="1" applyAlignment="1">
      <alignment horizontal="left"/>
    </xf>
    <xf numFmtId="165" fontId="8" fillId="4" borderId="12" xfId="0" applyNumberFormat="1" applyFont="1" applyFill="1" applyBorder="1" applyAlignment="1">
      <alignment horizontal="center" vertical="center" wrapText="1"/>
    </xf>
    <xf numFmtId="0" fontId="9" fillId="5" borderId="14" xfId="0" applyFont="1" applyFill="1" applyBorder="1" applyAlignment="1">
      <alignment horizontal="left" vertical="center"/>
    </xf>
    <xf numFmtId="0" fontId="9" fillId="5" borderId="15" xfId="0" applyFont="1" applyFill="1" applyBorder="1" applyAlignment="1">
      <alignment horizontal="center" vertical="center"/>
    </xf>
    <xf numFmtId="0" fontId="9" fillId="5" borderId="15" xfId="0" applyFont="1" applyFill="1" applyBorder="1" applyAlignment="1">
      <alignment horizontal="left" vertical="center" wrapText="1"/>
    </xf>
    <xf numFmtId="0" fontId="11" fillId="5" borderId="15" xfId="0" applyFont="1" applyFill="1" applyBorder="1" applyAlignment="1">
      <alignment horizontal="left" vertical="center"/>
    </xf>
    <xf numFmtId="1" fontId="11" fillId="5" borderId="15" xfId="0" applyNumberFormat="1" applyFont="1" applyFill="1" applyBorder="1" applyAlignment="1">
      <alignment horizontal="left" vertical="center"/>
    </xf>
    <xf numFmtId="0" fontId="11" fillId="5" borderId="15" xfId="0" applyFont="1" applyFill="1" applyBorder="1" applyAlignment="1">
      <alignment horizontal="center" vertical="center"/>
    </xf>
    <xf numFmtId="44" fontId="11" fillId="5" borderId="16" xfId="0" applyNumberFormat="1" applyFont="1" applyFill="1" applyBorder="1" applyAlignment="1">
      <alignment horizontal="left" vertical="center"/>
    </xf>
    <xf numFmtId="0" fontId="9" fillId="7" borderId="15" xfId="0" applyFont="1" applyFill="1" applyBorder="1" applyAlignment="1">
      <alignment horizontal="left" vertical="center"/>
    </xf>
    <xf numFmtId="0" fontId="9" fillId="7" borderId="15" xfId="0" applyFont="1" applyFill="1" applyBorder="1" applyAlignment="1">
      <alignment horizontal="center"/>
    </xf>
    <xf numFmtId="0" fontId="9" fillId="7" borderId="15" xfId="0" applyFont="1" applyFill="1" applyBorder="1" applyAlignment="1">
      <alignment horizontal="left"/>
    </xf>
    <xf numFmtId="1" fontId="9" fillId="7" borderId="15" xfId="0" applyNumberFormat="1" applyFont="1" applyFill="1" applyBorder="1" applyAlignment="1">
      <alignment horizontal="left" vertical="center"/>
    </xf>
    <xf numFmtId="0" fontId="9" fillId="7" borderId="15" xfId="0" applyFont="1" applyFill="1" applyBorder="1" applyAlignment="1">
      <alignment horizontal="center" vertical="center"/>
    </xf>
    <xf numFmtId="9" fontId="9" fillId="7" borderId="16" xfId="0" applyNumberFormat="1" applyFont="1" applyFill="1" applyBorder="1" applyAlignment="1">
      <alignment horizontal="left" vertical="center"/>
    </xf>
    <xf numFmtId="0" fontId="9" fillId="8" borderId="17" xfId="0" applyFont="1" applyFill="1" applyBorder="1" applyAlignment="1">
      <alignment horizontal="left" vertical="center"/>
    </xf>
    <xf numFmtId="165" fontId="9" fillId="8" borderId="18" xfId="0" applyNumberFormat="1" applyFont="1" applyFill="1" applyBorder="1" applyAlignment="1">
      <alignment horizontal="center" vertical="center"/>
    </xf>
    <xf numFmtId="0" fontId="9" fillId="8" borderId="18" xfId="0" applyFont="1" applyFill="1" applyBorder="1" applyAlignment="1">
      <alignment horizontal="left" vertical="center" wrapText="1"/>
    </xf>
    <xf numFmtId="0" fontId="11" fillId="8" borderId="18" xfId="0" applyFont="1" applyFill="1" applyBorder="1" applyAlignment="1">
      <alignment horizontal="left" vertical="center"/>
    </xf>
    <xf numFmtId="1" fontId="11" fillId="8" borderId="18" xfId="0" applyNumberFormat="1" applyFont="1" applyFill="1" applyBorder="1" applyAlignment="1">
      <alignment horizontal="left" vertical="center"/>
    </xf>
    <xf numFmtId="0" fontId="11" fillId="8" borderId="18" xfId="0" applyFont="1" applyFill="1" applyBorder="1" applyAlignment="1">
      <alignment horizontal="center" vertical="center"/>
    </xf>
    <xf numFmtId="44" fontId="11" fillId="8" borderId="19" xfId="0" applyNumberFormat="1" applyFont="1" applyFill="1" applyBorder="1" applyAlignment="1">
      <alignment horizontal="left" vertical="center"/>
    </xf>
    <xf numFmtId="0" fontId="0" fillId="0" borderId="20" xfId="0" applyBorder="1"/>
    <xf numFmtId="0" fontId="0" fillId="0" borderId="21" xfId="0" applyBorder="1"/>
    <xf numFmtId="0" fontId="1" fillId="0" borderId="22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23" xfId="0" applyFont="1" applyBorder="1" applyAlignment="1">
      <alignment horizontal="left"/>
    </xf>
    <xf numFmtId="1" fontId="13" fillId="0" borderId="23" xfId="0" applyNumberFormat="1" applyFont="1" applyBorder="1" applyAlignment="1">
      <alignment horizontal="center" vertical="center"/>
    </xf>
    <xf numFmtId="0" fontId="13" fillId="0" borderId="23" xfId="0" applyFont="1" applyBorder="1" applyAlignment="1">
      <alignment horizontal="center" vertical="center"/>
    </xf>
    <xf numFmtId="0" fontId="13" fillId="2" borderId="23" xfId="0" applyFont="1" applyFill="1" applyBorder="1"/>
    <xf numFmtId="0" fontId="13" fillId="2" borderId="24" xfId="0" applyFont="1" applyFill="1" applyBorder="1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left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9" xfId="0" applyFont="1" applyBorder="1" applyAlignment="1">
      <alignment horizontal="left"/>
    </xf>
    <xf numFmtId="0" fontId="3" fillId="0" borderId="9" xfId="0" applyFont="1" applyBorder="1" applyAlignment="1">
      <alignment horizontal="center" vertical="center"/>
    </xf>
    <xf numFmtId="165" fontId="7" fillId="4" borderId="29" xfId="0" applyNumberFormat="1" applyFont="1" applyFill="1" applyBorder="1" applyAlignment="1">
      <alignment horizontal="center" vertical="center" wrapText="1"/>
    </xf>
    <xf numFmtId="165" fontId="7" fillId="4" borderId="30" xfId="0" applyNumberFormat="1" applyFont="1" applyFill="1" applyBorder="1" applyAlignment="1">
      <alignment horizontal="center" vertical="center" wrapText="1"/>
    </xf>
    <xf numFmtId="165" fontId="7" fillId="4" borderId="31" xfId="0" applyNumberFormat="1" applyFont="1" applyFill="1" applyBorder="1" applyAlignment="1">
      <alignment horizontal="center" vertical="center" wrapText="1"/>
    </xf>
    <xf numFmtId="165" fontId="7" fillId="4" borderId="11" xfId="0" applyNumberFormat="1" applyFont="1" applyFill="1" applyBorder="1" applyAlignment="1">
      <alignment horizontal="center" vertical="center" wrapText="1"/>
    </xf>
    <xf numFmtId="0" fontId="8" fillId="4" borderId="11" xfId="0" applyFont="1" applyFill="1" applyBorder="1" applyAlignment="1">
      <alignment horizontal="left" vertical="center" wrapText="1"/>
    </xf>
    <xf numFmtId="165" fontId="7" fillId="4" borderId="13" xfId="0" applyNumberFormat="1" applyFont="1" applyFill="1" applyBorder="1" applyAlignment="1">
      <alignment horizontal="center" vertical="center" wrapText="1"/>
    </xf>
    <xf numFmtId="165" fontId="7" fillId="4" borderId="32" xfId="0" applyNumberFormat="1" applyFont="1" applyFill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/>
    </xf>
    <xf numFmtId="44" fontId="10" fillId="0" borderId="34" xfId="0" applyNumberFormat="1" applyFont="1" applyBorder="1" applyAlignment="1">
      <alignment horizontal="center" vertical="center"/>
    </xf>
    <xf numFmtId="167" fontId="11" fillId="5" borderId="34" xfId="0" applyNumberFormat="1" applyFont="1" applyFill="1" applyBorder="1" applyAlignment="1">
      <alignment horizontal="center" vertical="center"/>
    </xf>
    <xf numFmtId="165" fontId="7" fillId="4" borderId="33" xfId="0" applyNumberFormat="1" applyFont="1" applyFill="1" applyBorder="1" applyAlignment="1">
      <alignment horizontal="center" vertical="center" wrapText="1"/>
    </xf>
    <xf numFmtId="165" fontId="7" fillId="4" borderId="34" xfId="0" applyNumberFormat="1" applyFont="1" applyFill="1" applyBorder="1" applyAlignment="1">
      <alignment horizontal="center" vertical="center" wrapText="1"/>
    </xf>
    <xf numFmtId="167" fontId="10" fillId="0" borderId="34" xfId="0" applyNumberFormat="1" applyFont="1" applyBorder="1" applyAlignment="1">
      <alignment horizontal="center" vertical="center"/>
    </xf>
    <xf numFmtId="0" fontId="9" fillId="5" borderId="35" xfId="0" applyFont="1" applyFill="1" applyBorder="1" applyAlignment="1">
      <alignment horizontal="left" vertical="center"/>
    </xf>
    <xf numFmtId="167" fontId="9" fillId="5" borderId="36" xfId="0" applyNumberFormat="1" applyFont="1" applyFill="1" applyBorder="1" applyAlignment="1">
      <alignment horizontal="left" vertical="center"/>
    </xf>
    <xf numFmtId="0" fontId="9" fillId="7" borderId="35" xfId="0" applyFont="1" applyFill="1" applyBorder="1" applyAlignment="1">
      <alignment horizontal="left" vertical="center"/>
    </xf>
    <xf numFmtId="0" fontId="9" fillId="8" borderId="37" xfId="0" applyFont="1" applyFill="1" applyBorder="1" applyAlignment="1">
      <alignment horizontal="left" vertical="center"/>
    </xf>
    <xf numFmtId="167" fontId="9" fillId="8" borderId="38" xfId="0" applyNumberFormat="1" applyFont="1" applyFill="1" applyBorder="1" applyAlignment="1">
      <alignment horizontal="left" vertical="center"/>
    </xf>
    <xf numFmtId="0" fontId="18" fillId="0" borderId="5" xfId="0" applyFont="1" applyBorder="1"/>
    <xf numFmtId="0" fontId="19" fillId="0" borderId="5" xfId="0" applyFont="1" applyBorder="1"/>
    <xf numFmtId="0" fontId="0" fillId="0" borderId="5" xfId="0" applyBorder="1"/>
    <xf numFmtId="0" fontId="20" fillId="0" borderId="5" xfId="0" applyFont="1" applyBorder="1"/>
    <xf numFmtId="0" fontId="0" fillId="0" borderId="39" xfId="0" applyBorder="1"/>
    <xf numFmtId="0" fontId="20" fillId="0" borderId="40" xfId="0" applyFont="1" applyBorder="1" applyAlignment="1">
      <alignment horizontal="left" vertical="top"/>
    </xf>
    <xf numFmtId="0" fontId="17" fillId="0" borderId="40" xfId="0" applyFont="1" applyBorder="1"/>
    <xf numFmtId="0" fontId="0" fillId="0" borderId="40" xfId="0" applyBorder="1"/>
    <xf numFmtId="0" fontId="0" fillId="0" borderId="41" xfId="0" applyBorder="1"/>
    <xf numFmtId="168" fontId="1" fillId="0" borderId="0" xfId="0" applyNumberFormat="1" applyFont="1"/>
    <xf numFmtId="44" fontId="9" fillId="7" borderId="36" xfId="0" applyNumberFormat="1" applyFont="1" applyFill="1" applyBorder="1" applyAlignment="1">
      <alignment horizontal="left" vertical="center"/>
    </xf>
    <xf numFmtId="0" fontId="5" fillId="9" borderId="12" xfId="0" applyFont="1" applyFill="1" applyBorder="1" applyAlignment="1">
      <alignment horizontal="center" vertical="center"/>
    </xf>
    <xf numFmtId="0" fontId="9" fillId="0" borderId="12" xfId="0" applyFont="1" applyBorder="1" applyAlignment="1">
      <alignment horizontal="left" vertical="center" wrapText="1"/>
    </xf>
    <xf numFmtId="1" fontId="11" fillId="0" borderId="12" xfId="0" applyNumberFormat="1" applyFont="1" applyBorder="1" applyAlignment="1">
      <alignment horizontal="center" vertical="center"/>
    </xf>
    <xf numFmtId="0" fontId="1" fillId="0" borderId="12" xfId="0" applyFont="1" applyBorder="1" applyAlignment="1">
      <alignment horizontal="right" vertical="center" wrapText="1"/>
    </xf>
    <xf numFmtId="166" fontId="3" fillId="0" borderId="42" xfId="0" applyNumberFormat="1" applyFont="1" applyBorder="1" applyAlignment="1">
      <alignment horizontal="center" vertical="center"/>
    </xf>
    <xf numFmtId="167" fontId="3" fillId="0" borderId="42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left"/>
    </xf>
    <xf numFmtId="0" fontId="3" fillId="0" borderId="5" xfId="0" applyFont="1" applyBorder="1" applyAlignment="1">
      <alignment horizontal="center" vertical="center"/>
    </xf>
    <xf numFmtId="0" fontId="3" fillId="0" borderId="45" xfId="0" applyFont="1" applyBorder="1" applyAlignment="1">
      <alignment horizontal="center" vertical="center"/>
    </xf>
    <xf numFmtId="0" fontId="3" fillId="0" borderId="23" xfId="0" applyFont="1" applyBorder="1" applyAlignment="1">
      <alignment horizontal="left"/>
    </xf>
    <xf numFmtId="0" fontId="3" fillId="0" borderId="23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22" fillId="10" borderId="46" xfId="0" applyFont="1" applyFill="1" applyBorder="1"/>
    <xf numFmtId="0" fontId="22" fillId="10" borderId="47" xfId="0" applyFont="1" applyFill="1" applyBorder="1"/>
    <xf numFmtId="0" fontId="0" fillId="0" borderId="46" xfId="0" applyBorder="1"/>
    <xf numFmtId="44" fontId="23" fillId="0" borderId="51" xfId="0" applyNumberFormat="1" applyFont="1" applyBorder="1"/>
    <xf numFmtId="44" fontId="22" fillId="0" borderId="47" xfId="2" applyFont="1" applyBorder="1"/>
    <xf numFmtId="0" fontId="5" fillId="0" borderId="5" xfId="0" applyFont="1" applyBorder="1" applyAlignment="1">
      <alignment horizontal="center" vertical="center"/>
    </xf>
    <xf numFmtId="0" fontId="0" fillId="0" borderId="5" xfId="0" applyBorder="1"/>
    <xf numFmtId="0" fontId="4" fillId="0" borderId="6" xfId="0" applyFont="1" applyBorder="1"/>
    <xf numFmtId="0" fontId="14" fillId="3" borderId="4" xfId="0" applyFont="1" applyFill="1" applyBorder="1" applyAlignment="1">
      <alignment horizontal="right" vertical="center"/>
    </xf>
    <xf numFmtId="0" fontId="15" fillId="0" borderId="5" xfId="0" applyFont="1" applyBorder="1"/>
    <xf numFmtId="0" fontId="15" fillId="0" borderId="7" xfId="0" applyFont="1" applyBorder="1"/>
    <xf numFmtId="0" fontId="15" fillId="0" borderId="9" xfId="0" applyFont="1" applyBorder="1"/>
    <xf numFmtId="164" fontId="14" fillId="3" borderId="5" xfId="0" applyNumberFormat="1" applyFont="1" applyFill="1" applyBorder="1" applyAlignment="1">
      <alignment horizontal="center" vertical="center"/>
    </xf>
    <xf numFmtId="0" fontId="15" fillId="0" borderId="21" xfId="0" applyFont="1" applyBorder="1"/>
    <xf numFmtId="0" fontId="15" fillId="0" borderId="28" xfId="0" applyFont="1" applyBorder="1"/>
    <xf numFmtId="0" fontId="9" fillId="0" borderId="11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4" fillId="0" borderId="3" xfId="0" applyFont="1" applyBorder="1"/>
    <xf numFmtId="0" fontId="4" fillId="0" borderId="20" xfId="0" applyFont="1" applyBorder="1"/>
    <xf numFmtId="0" fontId="4" fillId="0" borderId="27" xfId="0" applyFont="1" applyBorder="1"/>
    <xf numFmtId="0" fontId="4" fillId="0" borderId="8" xfId="0" applyFont="1" applyBorder="1"/>
    <xf numFmtId="0" fontId="14" fillId="3" borderId="1" xfId="0" applyFont="1" applyFill="1" applyBorder="1" applyAlignment="1">
      <alignment horizontal="center" vertical="center"/>
    </xf>
    <xf numFmtId="0" fontId="15" fillId="0" borderId="2" xfId="0" applyFont="1" applyBorder="1"/>
    <xf numFmtId="0" fontId="14" fillId="3" borderId="2" xfId="0" applyFont="1" applyFill="1" applyBorder="1" applyAlignment="1">
      <alignment horizontal="center" vertical="center"/>
    </xf>
    <xf numFmtId="0" fontId="15" fillId="0" borderId="26" xfId="0" applyFont="1" applyBorder="1"/>
    <xf numFmtId="0" fontId="6" fillId="0" borderId="4" xfId="0" applyFont="1" applyBorder="1" applyAlignment="1">
      <alignment horizontal="center" vertical="center"/>
    </xf>
    <xf numFmtId="0" fontId="4" fillId="0" borderId="4" xfId="0" applyFont="1" applyBorder="1"/>
    <xf numFmtId="0" fontId="14" fillId="3" borderId="4" xfId="0" applyFont="1" applyFill="1" applyBorder="1" applyAlignment="1">
      <alignment horizontal="right"/>
    </xf>
    <xf numFmtId="0" fontId="15" fillId="0" borderId="4" xfId="0" applyFont="1" applyBorder="1"/>
    <xf numFmtId="0" fontId="23" fillId="0" borderId="48" xfId="0" applyFont="1" applyBorder="1" applyAlignment="1">
      <alignment horizontal="right"/>
    </xf>
    <xf numFmtId="0" fontId="23" fillId="0" borderId="49" xfId="0" applyFont="1" applyBorder="1" applyAlignment="1">
      <alignment horizontal="right"/>
    </xf>
    <xf numFmtId="0" fontId="23" fillId="0" borderId="50" xfId="0" applyFont="1" applyBorder="1" applyAlignment="1">
      <alignment horizontal="right"/>
    </xf>
    <xf numFmtId="0" fontId="4" fillId="0" borderId="21" xfId="0" applyFont="1" applyBorder="1"/>
    <xf numFmtId="0" fontId="22" fillId="10" borderId="43" xfId="0" applyFont="1" applyFill="1" applyBorder="1" applyAlignment="1">
      <alignment horizontal="center"/>
    </xf>
    <xf numFmtId="0" fontId="0" fillId="10" borderId="43" xfId="0" applyFill="1" applyBorder="1" applyAlignment="1">
      <alignment horizontal="center"/>
    </xf>
    <xf numFmtId="0" fontId="22" fillId="0" borderId="43" xfId="0" applyFont="1" applyBorder="1" applyAlignment="1">
      <alignment horizontal="center"/>
    </xf>
    <xf numFmtId="0" fontId="0" fillId="0" borderId="43" xfId="0" applyBorder="1" applyAlignment="1">
      <alignment horizontal="center"/>
    </xf>
    <xf numFmtId="0" fontId="3" fillId="0" borderId="22" xfId="0" applyFont="1" applyBorder="1" applyAlignment="1">
      <alignment horizontal="center" vertical="center"/>
    </xf>
    <xf numFmtId="0" fontId="4" fillId="0" borderId="44" xfId="0" applyFont="1" applyBorder="1"/>
  </cellXfs>
  <cellStyles count="3">
    <cellStyle name="Comma 2 2" xfId="1" xr:uid="{00000000-0005-0000-0000-000000000000}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e-logo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pe-logo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pe-logo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0</xdr:row>
      <xdr:rowOff>19050</xdr:rowOff>
    </xdr:from>
    <xdr:ext cx="828675" cy="323850"/>
    <xdr:pic>
      <xdr:nvPicPr>
        <xdr:cNvPr id="1" name="Logo"/>
        <xdr:cNvPicPr>
          <a:picLocks noChangeAspect="1"/>
        </xdr:cNvPicPr>
      </xdr:nvPicPr>
      <xdr:blipFill xmlns:r="http://schemas.openxmlformats.org/officeDocument/2006/relationships">
        <a:blip r:embed="rId1"/>
        <a:stretch>
          <a:fillRect/>
        </a:stretch>
      </xdr:blipFill>
      <xdr:spPr>
        <a:xfrm>
          <a:off x="0" y="0"/>
          <a:ext cx="828675" cy="32385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0</xdr:row>
      <xdr:rowOff>19050</xdr:rowOff>
    </xdr:from>
    <xdr:ext cx="828675" cy="323850"/>
    <xdr:pic>
      <xdr:nvPicPr>
        <xdr:cNvPr id="1" name="Logo"/>
        <xdr:cNvPicPr>
          <a:picLocks noChangeAspect="1"/>
        </xdr:cNvPicPr>
      </xdr:nvPicPr>
      <xdr:blipFill xmlns:r="http://schemas.openxmlformats.org/officeDocument/2006/relationships">
        <a:blip r:embed="rId1"/>
        <a:stretch>
          <a:fillRect/>
        </a:stretch>
      </xdr:blipFill>
      <xdr:spPr>
        <a:xfrm>
          <a:off x="0" y="0"/>
          <a:ext cx="828675" cy="32385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0</xdr:row>
      <xdr:rowOff>19050</xdr:rowOff>
    </xdr:from>
    <xdr:ext cx="828675" cy="323850"/>
    <xdr:pic>
      <xdr:nvPicPr>
        <xdr:cNvPr id="1" name="Logo"/>
        <xdr:cNvPicPr>
          <a:picLocks noChangeAspect="1"/>
        </xdr:cNvPicPr>
      </xdr:nvPicPr>
      <xdr:blipFill xmlns:r="http://schemas.openxmlformats.org/officeDocument/2006/relationships">
        <a:blip r:embed="rId1"/>
        <a:stretch>
          <a:fillRect/>
        </a:stretch>
      </xdr:blipFill>
      <xdr:spPr>
        <a:xfrm>
          <a:off x="0" y="0"/>
          <a:ext cx="828675" cy="32385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PEwm" Type="http://schemas.openxmlformats.org/officeDocument/2006/relationships/image" Target="../media/pe-watermark-3320x20.jpeg"/><Relationship Id="rIdPELogo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PEwm" Type="http://schemas.openxmlformats.org/officeDocument/2006/relationships/image" Target="../media/pe-watermark-3000x20.jpeg"/><Relationship Id="rIdPELogo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Relationship Id="rIdPEwm" Type="http://schemas.openxmlformats.org/officeDocument/2006/relationships/image" Target="../media/pe-watermark-1600x20.jpeg"/><Relationship Id="rIdPELogo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F286"/>
  <sheetViews>
    <sheetView tabSelected="1" view="pageBreakPreview" zoomScale="70" zoomScaleNormal="70" zoomScaleSheetLayoutView="70" workbookViewId="0">
      <pane ySplit="8" topLeftCell="A9" activePane="bottomLeft" state="frozen"/>
      <selection pane="bottomLeft" activeCell="E209" sqref="E209"/>
    </sheetView>
  </sheetViews>
  <sheetFormatPr defaultColWidth="14.42578125" defaultRowHeight="15" x14ac:dyDescent="0.25"/>
  <cols>
    <col min="1" max="1" width="3.28515625" customWidth="1"/>
    <col min="2" max="2" width="7.28515625" customWidth="1"/>
    <col min="3" max="3" width="15" customWidth="1"/>
    <col min="4" max="4" width="15.140625" customWidth="1"/>
    <col min="5" max="5" width="132.85546875" bestFit="1" customWidth="1"/>
    <col min="6" max="6" width="10" customWidth="1"/>
    <col min="7" max="7" width="8.7109375" customWidth="1"/>
    <col min="8" max="8" width="9.7109375" customWidth="1"/>
    <col min="9" max="9" width="7.28515625" customWidth="1"/>
    <col min="10" max="10" width="14.7109375" customWidth="1"/>
    <col min="11" max="11" width="15.42578125" bestFit="1" customWidth="1"/>
    <col min="12" max="12" width="14.28515625" customWidth="1"/>
    <col min="13" max="13" width="18" customWidth="1"/>
    <col min="14" max="14" width="18.85546875" customWidth="1"/>
    <col min="15" max="15" width="7.42578125" bestFit="1" customWidth="1"/>
    <col min="16" max="32" width="8.7109375" customWidth="1"/>
  </cols>
  <sheetData>
    <row r="1" spans="1:32" ht="16.5" thickBot="1" x14ac:dyDescent="0.3">
      <c r="B1" s="54"/>
      <c r="C1" s="55"/>
      <c r="D1" s="55"/>
      <c r="E1" s="56"/>
      <c r="F1" s="55"/>
      <c r="G1" s="55"/>
      <c r="H1" s="57"/>
      <c r="I1" s="58"/>
      <c r="J1" s="59"/>
      <c r="K1" s="59"/>
      <c r="L1" s="59"/>
      <c r="M1" s="59"/>
      <c r="N1" s="60"/>
      <c r="O1" s="1"/>
      <c r="P1" s="1"/>
      <c r="Q1" s="1"/>
      <c r="R1" s="1"/>
      <c r="S1" s="1"/>
    </row>
    <row r="2" spans="1:32" ht="15.75" x14ac:dyDescent="0.25">
      <c r="A2" s="2"/>
      <c r="B2" s="127"/>
      <c r="C2" s="128"/>
      <c r="D2" s="61"/>
      <c r="E2" s="62"/>
      <c r="F2" s="63"/>
      <c r="G2" s="64"/>
      <c r="H2" s="132"/>
      <c r="I2" s="133"/>
      <c r="J2" s="133"/>
      <c r="K2" s="133"/>
      <c r="L2" s="133"/>
      <c r="M2" s="134" t="s">
        <v>0</v>
      </c>
      <c r="N2" s="135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</row>
    <row r="3" spans="1:32" ht="15.75" x14ac:dyDescent="0.25">
      <c r="A3" s="2"/>
      <c r="B3" s="129"/>
      <c r="C3" s="117"/>
      <c r="D3" s="136" t="s">
        <v>1</v>
      </c>
      <c r="E3" s="115" t="s">
        <v>79</v>
      </c>
      <c r="F3" s="116"/>
      <c r="G3" s="117"/>
      <c r="H3" s="138" t="s">
        <v>2</v>
      </c>
      <c r="I3" s="119"/>
      <c r="J3" s="119"/>
      <c r="K3" s="119"/>
      <c r="L3" s="119"/>
      <c r="M3" s="122">
        <f>N279</f>
        <v>284973.29909771681</v>
      </c>
      <c r="N3" s="123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</row>
    <row r="4" spans="1:32" x14ac:dyDescent="0.25">
      <c r="A4" s="2"/>
      <c r="B4" s="129"/>
      <c r="C4" s="117"/>
      <c r="D4" s="137"/>
      <c r="E4" s="116"/>
      <c r="F4" s="116"/>
      <c r="G4" s="117"/>
      <c r="H4" s="118" t="s">
        <v>3</v>
      </c>
      <c r="I4" s="119"/>
      <c r="J4" s="119"/>
      <c r="K4" s="119"/>
      <c r="L4" s="119"/>
      <c r="M4" s="122">
        <f>N280</f>
        <v>79792.523747360712</v>
      </c>
      <c r="N4" s="123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</row>
    <row r="5" spans="1:32" x14ac:dyDescent="0.25">
      <c r="A5" s="2"/>
      <c r="B5" s="129"/>
      <c r="C5" s="117"/>
      <c r="D5" s="136" t="s">
        <v>4</v>
      </c>
      <c r="E5" s="115" t="s">
        <v>80</v>
      </c>
      <c r="F5" s="116"/>
      <c r="G5" s="117"/>
      <c r="H5" s="139"/>
      <c r="I5" s="119"/>
      <c r="J5" s="119"/>
      <c r="K5" s="119"/>
      <c r="L5" s="119"/>
      <c r="M5" s="119"/>
      <c r="N5" s="123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</row>
    <row r="6" spans="1:32" x14ac:dyDescent="0.25">
      <c r="A6" s="2"/>
      <c r="B6" s="129"/>
      <c r="C6" s="117"/>
      <c r="D6" s="137"/>
      <c r="E6" s="116"/>
      <c r="F6" s="116"/>
      <c r="G6" s="117"/>
      <c r="H6" s="118" t="s">
        <v>5</v>
      </c>
      <c r="I6" s="119"/>
      <c r="J6" s="119"/>
      <c r="K6" s="119"/>
      <c r="L6" s="119"/>
      <c r="M6" s="122">
        <f>N281</f>
        <v>364765.82284507749</v>
      </c>
      <c r="N6" s="123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</row>
    <row r="7" spans="1:32" ht="16.5" thickBot="1" x14ac:dyDescent="0.3">
      <c r="A7" s="2"/>
      <c r="B7" s="130"/>
      <c r="C7" s="131"/>
      <c r="D7" s="3"/>
      <c r="E7" s="65"/>
      <c r="F7" s="66"/>
      <c r="G7" s="4"/>
      <c r="H7" s="120"/>
      <c r="I7" s="121"/>
      <c r="J7" s="121"/>
      <c r="K7" s="121"/>
      <c r="L7" s="121"/>
      <c r="M7" s="121"/>
      <c r="N7" s="124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</row>
    <row r="8" spans="1:32" ht="47.25" x14ac:dyDescent="0.25">
      <c r="B8" s="67" t="s">
        <v>6</v>
      </c>
      <c r="C8" s="5" t="s">
        <v>7</v>
      </c>
      <c r="D8" s="5" t="s">
        <v>8</v>
      </c>
      <c r="E8" s="6" t="s">
        <v>9</v>
      </c>
      <c r="F8" s="5" t="s">
        <v>10</v>
      </c>
      <c r="G8" s="5" t="s">
        <v>11</v>
      </c>
      <c r="H8" s="5" t="s">
        <v>12</v>
      </c>
      <c r="I8" s="5" t="s">
        <v>13</v>
      </c>
      <c r="J8" s="5" t="s">
        <v>14</v>
      </c>
      <c r="K8" s="5" t="s">
        <v>15</v>
      </c>
      <c r="L8" s="5" t="s">
        <v>16</v>
      </c>
      <c r="M8" s="5" t="s">
        <v>17</v>
      </c>
      <c r="N8" s="68" t="s">
        <v>18</v>
      </c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</row>
    <row r="9" spans="1:32" ht="15.75" x14ac:dyDescent="0.25">
      <c r="B9" s="69"/>
      <c r="C9" s="70"/>
      <c r="D9" s="70">
        <v>10000</v>
      </c>
      <c r="E9" s="71" t="s">
        <v>19</v>
      </c>
      <c r="F9" s="72"/>
      <c r="G9" s="72"/>
      <c r="H9" s="72"/>
      <c r="I9" s="72"/>
      <c r="J9" s="72"/>
      <c r="K9" s="72"/>
      <c r="L9" s="72"/>
      <c r="M9" s="72"/>
      <c r="N9" s="73"/>
      <c r="O9" s="1"/>
      <c r="P9" s="1"/>
      <c r="Q9" s="7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</row>
    <row r="10" spans="1:32" ht="15.75" x14ac:dyDescent="0.25">
      <c r="B10" s="74">
        <f>IF(I10&lt;&gt;"",1+MAX(A$1:$B9),"")</f>
        <v>1</v>
      </c>
      <c r="C10" s="125" t="s">
        <v>20</v>
      </c>
      <c r="D10" s="9"/>
      <c r="E10" s="10" t="s">
        <v>21</v>
      </c>
      <c r="F10" s="11">
        <v>1</v>
      </c>
      <c r="G10" s="12">
        <v>0</v>
      </c>
      <c r="H10" s="13">
        <f t="shared" ref="H10:H16" si="0">F10*(1+G10)</f>
        <v>1</v>
      </c>
      <c r="I10" s="14" t="s">
        <v>22</v>
      </c>
      <c r="J10" s="15">
        <v>0</v>
      </c>
      <c r="K10" s="15">
        <v>0</v>
      </c>
      <c r="L10" s="16">
        <f t="shared" ref="L10:L16" si="1">J10*H10</f>
        <v>0</v>
      </c>
      <c r="M10" s="16">
        <f t="shared" ref="M10:M16" si="2">K10*H10</f>
        <v>0</v>
      </c>
      <c r="N10" s="75">
        <f t="shared" ref="N10:N16" si="3">M10+L10</f>
        <v>0</v>
      </c>
      <c r="O10" s="94"/>
      <c r="P10" s="1"/>
      <c r="Q10" s="7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</row>
    <row r="11" spans="1:32" ht="15.75" x14ac:dyDescent="0.25">
      <c r="B11" s="74">
        <f>IF(I11&lt;&gt;"",1+MAX(A$1:$B10),"")</f>
        <v>2</v>
      </c>
      <c r="C11" s="126"/>
      <c r="D11" s="9"/>
      <c r="E11" s="10" t="s">
        <v>23</v>
      </c>
      <c r="F11" s="14">
        <v>1</v>
      </c>
      <c r="G11" s="12">
        <v>0</v>
      </c>
      <c r="H11" s="13">
        <f t="shared" si="0"/>
        <v>1</v>
      </c>
      <c r="I11" s="14" t="s">
        <v>22</v>
      </c>
      <c r="J11" s="15">
        <v>0</v>
      </c>
      <c r="K11" s="15">
        <v>0</v>
      </c>
      <c r="L11" s="16">
        <f t="shared" si="1"/>
        <v>0</v>
      </c>
      <c r="M11" s="16">
        <f t="shared" si="2"/>
        <v>0</v>
      </c>
      <c r="N11" s="75">
        <f t="shared" si="3"/>
        <v>0</v>
      </c>
      <c r="O11" s="1"/>
      <c r="P11" s="1"/>
      <c r="Q11" s="7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</row>
    <row r="12" spans="1:32" ht="15.75" x14ac:dyDescent="0.25">
      <c r="B12" s="74">
        <f>IF(I12&lt;&gt;"",1+MAX(A$1:$B11),"")</f>
        <v>3</v>
      </c>
      <c r="C12" s="126"/>
      <c r="D12" s="9"/>
      <c r="E12" s="10" t="s">
        <v>24</v>
      </c>
      <c r="F12" s="17">
        <v>1</v>
      </c>
      <c r="G12" s="12">
        <v>0</v>
      </c>
      <c r="H12" s="13">
        <f t="shared" si="0"/>
        <v>1</v>
      </c>
      <c r="I12" s="14" t="s">
        <v>22</v>
      </c>
      <c r="J12" s="15">
        <v>0</v>
      </c>
      <c r="K12" s="15">
        <v>0</v>
      </c>
      <c r="L12" s="16">
        <f t="shared" si="1"/>
        <v>0</v>
      </c>
      <c r="M12" s="16">
        <f t="shared" si="2"/>
        <v>0</v>
      </c>
      <c r="N12" s="75">
        <f t="shared" si="3"/>
        <v>0</v>
      </c>
      <c r="O12" s="1"/>
      <c r="P12" s="1"/>
      <c r="Q12" s="7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</row>
    <row r="13" spans="1:32" ht="15.75" x14ac:dyDescent="0.25">
      <c r="B13" s="74">
        <f>IF(I13&lt;&gt;"",1+MAX(A$1:$B12),"")</f>
        <v>4</v>
      </c>
      <c r="C13" s="126"/>
      <c r="D13" s="9"/>
      <c r="E13" s="10" t="s">
        <v>25</v>
      </c>
      <c r="F13" s="17">
        <v>1</v>
      </c>
      <c r="G13" s="12">
        <v>0</v>
      </c>
      <c r="H13" s="13">
        <f t="shared" si="0"/>
        <v>1</v>
      </c>
      <c r="I13" s="14" t="s">
        <v>22</v>
      </c>
      <c r="J13" s="15">
        <v>0</v>
      </c>
      <c r="K13" s="15">
        <v>0</v>
      </c>
      <c r="L13" s="16">
        <f t="shared" si="1"/>
        <v>0</v>
      </c>
      <c r="M13" s="16">
        <f t="shared" si="2"/>
        <v>0</v>
      </c>
      <c r="N13" s="75">
        <f t="shared" si="3"/>
        <v>0</v>
      </c>
      <c r="O13" s="94"/>
      <c r="P13" s="1"/>
      <c r="Q13" s="7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</row>
    <row r="14" spans="1:32" ht="15.75" x14ac:dyDescent="0.25">
      <c r="B14" s="74">
        <f>IF(I14&lt;&gt;"",1+MAX(A$1:$B13),"")</f>
        <v>5</v>
      </c>
      <c r="C14" s="126"/>
      <c r="D14" s="9"/>
      <c r="E14" s="10" t="s">
        <v>25</v>
      </c>
      <c r="F14" s="14">
        <v>1</v>
      </c>
      <c r="G14" s="12">
        <v>0</v>
      </c>
      <c r="H14" s="13">
        <f t="shared" si="0"/>
        <v>1</v>
      </c>
      <c r="I14" s="14" t="s">
        <v>22</v>
      </c>
      <c r="J14" s="15">
        <v>0</v>
      </c>
      <c r="K14" s="15">
        <v>0</v>
      </c>
      <c r="L14" s="16">
        <f t="shared" si="1"/>
        <v>0</v>
      </c>
      <c r="M14" s="16">
        <f t="shared" si="2"/>
        <v>0</v>
      </c>
      <c r="N14" s="75">
        <f t="shared" si="3"/>
        <v>0</v>
      </c>
      <c r="O14" s="1"/>
      <c r="P14" s="1"/>
      <c r="Q14" s="7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</row>
    <row r="15" spans="1:32" ht="15.75" x14ac:dyDescent="0.25">
      <c r="B15" s="74">
        <f>IF(I15&lt;&gt;"",1+MAX(A$1:$B14),"")</f>
        <v>6</v>
      </c>
      <c r="C15" s="126"/>
      <c r="D15" s="14"/>
      <c r="E15" s="10" t="s">
        <v>26</v>
      </c>
      <c r="F15" s="14">
        <v>1</v>
      </c>
      <c r="G15" s="12">
        <v>0</v>
      </c>
      <c r="H15" s="13">
        <f t="shared" si="0"/>
        <v>1</v>
      </c>
      <c r="I15" s="14" t="s">
        <v>22</v>
      </c>
      <c r="J15" s="15">
        <v>0</v>
      </c>
      <c r="K15" s="15">
        <v>0</v>
      </c>
      <c r="L15" s="16">
        <f t="shared" si="1"/>
        <v>0</v>
      </c>
      <c r="M15" s="16">
        <f t="shared" si="2"/>
        <v>0</v>
      </c>
      <c r="N15" s="75">
        <f t="shared" si="3"/>
        <v>0</v>
      </c>
      <c r="O15" s="1"/>
      <c r="P15" s="1"/>
      <c r="Q15" s="7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</row>
    <row r="16" spans="1:32" ht="15.75" x14ac:dyDescent="0.25">
      <c r="B16" s="74">
        <f>IF(I16&lt;&gt;"",1+MAX(A$1:$B15),"")</f>
        <v>7</v>
      </c>
      <c r="C16" s="126"/>
      <c r="D16" s="14"/>
      <c r="E16" s="10" t="s">
        <v>27</v>
      </c>
      <c r="F16" s="14">
        <v>1</v>
      </c>
      <c r="G16" s="12">
        <v>0</v>
      </c>
      <c r="H16" s="13">
        <f t="shared" si="0"/>
        <v>1</v>
      </c>
      <c r="I16" s="14" t="s">
        <v>22</v>
      </c>
      <c r="J16" s="15">
        <v>0</v>
      </c>
      <c r="K16" s="15">
        <v>0</v>
      </c>
      <c r="L16" s="16">
        <f t="shared" si="1"/>
        <v>0</v>
      </c>
      <c r="M16" s="16">
        <f t="shared" si="2"/>
        <v>0</v>
      </c>
      <c r="N16" s="75">
        <f t="shared" si="3"/>
        <v>0</v>
      </c>
      <c r="O16" s="1"/>
      <c r="P16" s="1"/>
      <c r="Q16" s="7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</row>
    <row r="17" spans="1:32" ht="15.75" x14ac:dyDescent="0.25">
      <c r="B17" s="74" t="str">
        <f>IF(I17&lt;&gt;"",1+MAX(A$1:$B16),"")</f>
        <v/>
      </c>
      <c r="C17" s="8"/>
      <c r="D17" s="14"/>
      <c r="E17" s="18" t="s">
        <v>2</v>
      </c>
      <c r="F17" s="17"/>
      <c r="G17" s="17"/>
      <c r="H17" s="13"/>
      <c r="I17" s="17"/>
      <c r="J17" s="19"/>
      <c r="K17" s="19"/>
      <c r="L17" s="20">
        <f>SUM(L10:L16)</f>
        <v>0</v>
      </c>
      <c r="M17" s="19"/>
      <c r="N17" s="76">
        <f>SUM(N10:N16)</f>
        <v>0</v>
      </c>
      <c r="O17" s="1"/>
      <c r="P17" s="1"/>
      <c r="Q17" s="7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</row>
    <row r="18" spans="1:32" ht="15.75" x14ac:dyDescent="0.25">
      <c r="B18" s="77" t="str">
        <f>IF(I18&lt;&gt;"",1+MAX(A$1:$B17),"")</f>
        <v/>
      </c>
      <c r="C18" s="31"/>
      <c r="D18" s="70">
        <v>2</v>
      </c>
      <c r="E18" s="71" t="s">
        <v>39</v>
      </c>
      <c r="F18" s="21"/>
      <c r="G18" s="21"/>
      <c r="H18" s="21"/>
      <c r="I18" s="21"/>
      <c r="J18" s="21"/>
      <c r="K18" s="21"/>
      <c r="L18" s="21"/>
      <c r="M18" s="21"/>
      <c r="N18" s="78"/>
      <c r="O18" s="22"/>
      <c r="P18" s="1"/>
      <c r="Q18" s="7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</row>
    <row r="19" spans="1:32" ht="15.75" x14ac:dyDescent="0.25">
      <c r="B19" s="74" t="str">
        <f>IF(I19&lt;&gt;"",1+MAX(A$1:$B18),"")</f>
        <v/>
      </c>
      <c r="C19" s="23"/>
      <c r="D19" s="9"/>
      <c r="E19" s="10"/>
      <c r="F19" s="11"/>
      <c r="G19" s="12"/>
      <c r="H19" s="13"/>
      <c r="I19" s="14"/>
      <c r="J19" s="15"/>
      <c r="K19" s="15"/>
      <c r="L19" s="16"/>
      <c r="M19" s="16"/>
      <c r="N19" s="75"/>
      <c r="O19" s="94"/>
      <c r="P19" s="1"/>
      <c r="Q19" s="7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</row>
    <row r="20" spans="1:32" ht="15.75" x14ac:dyDescent="0.25">
      <c r="B20" s="74" t="str">
        <f>IF(I20&lt;&gt;"",1+MAX(A$1:$B19),"")</f>
        <v/>
      </c>
      <c r="C20" s="23"/>
      <c r="D20" s="25"/>
      <c r="E20" s="96" t="s">
        <v>42</v>
      </c>
      <c r="F20" s="13"/>
      <c r="G20" s="26"/>
      <c r="H20" s="27"/>
      <c r="I20" s="24"/>
      <c r="J20" s="15"/>
      <c r="K20" s="15"/>
      <c r="L20" s="15"/>
      <c r="M20" s="15"/>
      <c r="N20" s="79"/>
      <c r="O20" s="22"/>
      <c r="P20" s="22"/>
      <c r="Q20" s="7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</row>
    <row r="21" spans="1:32" ht="15.75" x14ac:dyDescent="0.25">
      <c r="B21" s="74">
        <f>IF(I21&lt;&gt;"",1+MAX(A$1:$B20),"")</f>
        <v>8</v>
      </c>
      <c r="C21" s="9" t="s">
        <v>193</v>
      </c>
      <c r="D21" s="9"/>
      <c r="E21" s="10" t="s">
        <v>81</v>
      </c>
      <c r="F21" s="13">
        <v>82.43</v>
      </c>
      <c r="G21" s="26">
        <v>0</v>
      </c>
      <c r="H21" s="27">
        <f t="shared" ref="H21" si="4">(1+G21)*F21</f>
        <v>82.43</v>
      </c>
      <c r="I21" s="14" t="s">
        <v>30</v>
      </c>
      <c r="J21" s="15">
        <v>4.5</v>
      </c>
      <c r="K21" s="15"/>
      <c r="L21" s="16">
        <f>J21*H21</f>
        <v>370.93500000000006</v>
      </c>
      <c r="M21" s="29">
        <f>K21*H21</f>
        <v>0</v>
      </c>
      <c r="N21" s="75">
        <f>M21+L21</f>
        <v>370.93500000000006</v>
      </c>
      <c r="O21" s="1"/>
      <c r="P21" s="1"/>
      <c r="Q21" s="7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</row>
    <row r="22" spans="1:32" ht="15.75" x14ac:dyDescent="0.25">
      <c r="B22" s="74">
        <f>IF(I22&lt;&gt;"",1+MAX(A$1:$B21),"")</f>
        <v>9</v>
      </c>
      <c r="C22" s="9" t="s">
        <v>193</v>
      </c>
      <c r="D22" s="9"/>
      <c r="E22" s="10" t="s">
        <v>221</v>
      </c>
      <c r="F22" s="13">
        <v>28.9</v>
      </c>
      <c r="G22" s="26">
        <v>0</v>
      </c>
      <c r="H22" s="27">
        <f t="shared" ref="H22" si="5">(1+G22)*F22</f>
        <v>28.9</v>
      </c>
      <c r="I22" s="14" t="s">
        <v>30</v>
      </c>
      <c r="J22" s="15">
        <v>3.5</v>
      </c>
      <c r="K22" s="15"/>
      <c r="L22" s="16">
        <f>J22*H22</f>
        <v>101.14999999999999</v>
      </c>
      <c r="M22" s="29">
        <f>K22*H22</f>
        <v>0</v>
      </c>
      <c r="N22" s="75">
        <f t="shared" ref="N22" si="6">M22+L22</f>
        <v>101.14999999999999</v>
      </c>
      <c r="O22" s="1"/>
      <c r="P22" s="1"/>
      <c r="Q22" s="7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</row>
    <row r="23" spans="1:32" ht="15.75" x14ac:dyDescent="0.25">
      <c r="B23" s="74">
        <f>IF(I23&lt;&gt;"",1+MAX(A$1:$B22),"")</f>
        <v>10</v>
      </c>
      <c r="C23" s="9" t="s">
        <v>194</v>
      </c>
      <c r="D23" s="9"/>
      <c r="E23" s="10" t="s">
        <v>175</v>
      </c>
      <c r="F23" s="13">
        <v>17.97</v>
      </c>
      <c r="G23" s="26">
        <v>0</v>
      </c>
      <c r="H23" s="27">
        <f t="shared" ref="H23" si="7">(1+G23)*F23</f>
        <v>17.97</v>
      </c>
      <c r="I23" s="14" t="s">
        <v>30</v>
      </c>
      <c r="J23" s="15">
        <v>3</v>
      </c>
      <c r="K23" s="15"/>
      <c r="L23" s="16">
        <f>J23*H23</f>
        <v>53.91</v>
      </c>
      <c r="M23" s="29">
        <f>K23*H23</f>
        <v>0</v>
      </c>
      <c r="N23" s="75">
        <f t="shared" ref="N23" si="8">M23+L23</f>
        <v>53.91</v>
      </c>
      <c r="O23" s="1"/>
      <c r="P23" s="1"/>
      <c r="Q23" s="7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</row>
    <row r="24" spans="1:32" ht="15.75" x14ac:dyDescent="0.25">
      <c r="B24" s="74">
        <f>IF(I24&lt;&gt;"",1+MAX(A$1:$B23),"")</f>
        <v>11</v>
      </c>
      <c r="C24" s="9" t="s">
        <v>193</v>
      </c>
      <c r="D24" s="9"/>
      <c r="E24" s="10" t="s">
        <v>82</v>
      </c>
      <c r="F24" s="13">
        <v>23.41</v>
      </c>
      <c r="G24" s="26">
        <v>0</v>
      </c>
      <c r="H24" s="27">
        <f t="shared" ref="H24" si="9">(1+G24)*F24</f>
        <v>23.41</v>
      </c>
      <c r="I24" s="14" t="s">
        <v>38</v>
      </c>
      <c r="J24" s="15">
        <v>11</v>
      </c>
      <c r="K24" s="15"/>
      <c r="L24" s="16">
        <f>J24*H24</f>
        <v>257.51</v>
      </c>
      <c r="M24" s="29">
        <f>K24*H24</f>
        <v>0</v>
      </c>
      <c r="N24" s="75">
        <f t="shared" ref="N24" si="10">M24+L24</f>
        <v>257.51</v>
      </c>
      <c r="O24" s="1"/>
      <c r="P24" s="1"/>
      <c r="Q24" s="7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</row>
    <row r="25" spans="1:32" ht="15.75" x14ac:dyDescent="0.25">
      <c r="B25" s="74" t="str">
        <f>IF(I25&lt;&gt;"",1+MAX(A$1:$B24),"")</f>
        <v/>
      </c>
      <c r="C25" s="9"/>
      <c r="D25" s="9"/>
      <c r="E25" s="10"/>
      <c r="F25" s="13"/>
      <c r="G25" s="26"/>
      <c r="H25" s="27"/>
      <c r="I25" s="14"/>
      <c r="J25" s="15"/>
      <c r="K25" s="15"/>
      <c r="L25" s="16"/>
      <c r="M25" s="29"/>
      <c r="N25" s="75"/>
      <c r="O25" s="1"/>
      <c r="P25" s="1"/>
      <c r="Q25" s="7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</row>
    <row r="26" spans="1:32" ht="15.75" x14ac:dyDescent="0.25">
      <c r="A26" s="28"/>
      <c r="B26" s="74" t="str">
        <f>IF(I26&lt;&gt;"",1+MAX(A$1:$B25),"")</f>
        <v/>
      </c>
      <c r="C26" s="8"/>
      <c r="D26" s="14"/>
      <c r="E26" s="18" t="s">
        <v>2</v>
      </c>
      <c r="F26" s="17"/>
      <c r="G26" s="17"/>
      <c r="H26" s="13"/>
      <c r="I26" s="17"/>
      <c r="J26" s="20"/>
      <c r="K26" s="20" t="s">
        <v>28</v>
      </c>
      <c r="L26" s="76">
        <f>SUM(L20:L25)</f>
        <v>783.505</v>
      </c>
      <c r="M26" s="76">
        <f>SUM(M20:M25)</f>
        <v>0</v>
      </c>
      <c r="N26" s="76">
        <f>SUM(N20:N25)</f>
        <v>783.505</v>
      </c>
      <c r="O26" s="30"/>
      <c r="P26" s="30"/>
      <c r="Q26" s="7"/>
      <c r="R26" s="30"/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</row>
    <row r="27" spans="1:32" ht="15.75" x14ac:dyDescent="0.25">
      <c r="B27" s="77" t="str">
        <f>IF(I27&lt;&gt;"",1+MAX(A$1:$B26),"")</f>
        <v/>
      </c>
      <c r="C27" s="31"/>
      <c r="D27" s="70">
        <v>3</v>
      </c>
      <c r="E27" s="71" t="s">
        <v>162</v>
      </c>
      <c r="F27" s="21"/>
      <c r="G27" s="21"/>
      <c r="H27" s="21"/>
      <c r="I27" s="21"/>
      <c r="J27" s="21"/>
      <c r="K27" s="21"/>
      <c r="L27" s="21"/>
      <c r="M27" s="21"/>
      <c r="N27" s="78"/>
      <c r="O27" s="22"/>
      <c r="P27" s="1"/>
      <c r="Q27" s="7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</row>
    <row r="28" spans="1:32" ht="15.75" x14ac:dyDescent="0.25">
      <c r="B28" s="74" t="str">
        <f>IF(I28&lt;&gt;"",1+MAX(A$1:$B27),"")</f>
        <v/>
      </c>
      <c r="C28" s="23"/>
      <c r="D28" s="9"/>
      <c r="E28" s="10"/>
      <c r="F28" s="11"/>
      <c r="G28" s="12"/>
      <c r="H28" s="13"/>
      <c r="I28" s="14"/>
      <c r="J28" s="15"/>
      <c r="K28" s="15"/>
      <c r="L28" s="16"/>
      <c r="M28" s="16"/>
      <c r="N28" s="75"/>
      <c r="O28" s="94"/>
      <c r="P28" s="1"/>
      <c r="Q28" s="7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</row>
    <row r="29" spans="1:32" ht="15.75" x14ac:dyDescent="0.25">
      <c r="B29" s="74" t="str">
        <f>IF(I29&lt;&gt;"",1+MAX(A$1:$B28),"")</f>
        <v/>
      </c>
      <c r="C29" s="23"/>
      <c r="D29" s="25"/>
      <c r="E29" s="96" t="s">
        <v>163</v>
      </c>
      <c r="F29" s="13"/>
      <c r="G29" s="26"/>
      <c r="H29" s="27"/>
      <c r="I29" s="24"/>
      <c r="J29" s="15"/>
      <c r="K29" s="15"/>
      <c r="L29" s="15"/>
      <c r="M29" s="15"/>
      <c r="N29" s="79"/>
      <c r="O29" s="22"/>
      <c r="P29" s="22"/>
      <c r="Q29" s="7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</row>
    <row r="30" spans="1:32" ht="15.75" x14ac:dyDescent="0.25">
      <c r="B30" s="74">
        <f>IF(I30&lt;&gt;"",1+MAX(A$1:$B29),"")</f>
        <v>12</v>
      </c>
      <c r="C30" s="9" t="s">
        <v>195</v>
      </c>
      <c r="D30" s="9"/>
      <c r="E30" s="10" t="s">
        <v>164</v>
      </c>
      <c r="F30" s="13">
        <f>(0.42*259.17)/27</f>
        <v>4.031533333333333</v>
      </c>
      <c r="G30" s="26">
        <v>0.1</v>
      </c>
      <c r="H30" s="27">
        <f>(1+G30)*F30</f>
        <v>4.4346866666666669</v>
      </c>
      <c r="I30" s="14" t="s">
        <v>185</v>
      </c>
      <c r="J30" s="15">
        <v>170</v>
      </c>
      <c r="K30" s="15">
        <v>255</v>
      </c>
      <c r="L30" s="16">
        <f>J30*H30</f>
        <v>753.89673333333337</v>
      </c>
      <c r="M30" s="29">
        <f>K30*H30</f>
        <v>1130.8451</v>
      </c>
      <c r="N30" s="75">
        <f t="shared" ref="N30:N33" si="11">M30+L30</f>
        <v>1884.7418333333335</v>
      </c>
      <c r="O30" s="1"/>
      <c r="P30" s="1"/>
      <c r="Q30" s="7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</row>
    <row r="31" spans="1:32" ht="15.75" x14ac:dyDescent="0.25">
      <c r="B31" s="74">
        <f>IF(I31&lt;&gt;"",1+MAX(A$1:$B30),"")</f>
        <v>13</v>
      </c>
      <c r="C31" s="9" t="s">
        <v>195</v>
      </c>
      <c r="D31" s="9"/>
      <c r="E31" s="10" t="s">
        <v>186</v>
      </c>
      <c r="F31" s="13">
        <v>259.17</v>
      </c>
      <c r="G31" s="26">
        <v>0.1</v>
      </c>
      <c r="H31" s="27">
        <f>(1+G31)*F31</f>
        <v>285.08700000000005</v>
      </c>
      <c r="I31" s="14" t="s">
        <v>30</v>
      </c>
      <c r="J31" s="15">
        <v>0.48</v>
      </c>
      <c r="K31" s="15">
        <v>0.72</v>
      </c>
      <c r="L31" s="16">
        <f>J31*H31</f>
        <v>136.84176000000002</v>
      </c>
      <c r="M31" s="29">
        <f>K31*H31</f>
        <v>205.26264000000003</v>
      </c>
      <c r="N31" s="75">
        <f t="shared" ref="N31" si="12">M31+L31</f>
        <v>342.10440000000006</v>
      </c>
      <c r="O31" s="1"/>
      <c r="P31" s="1"/>
      <c r="Q31" s="7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</row>
    <row r="32" spans="1:32" ht="15.75" x14ac:dyDescent="0.25">
      <c r="B32" s="74">
        <f>IF(I32&lt;&gt;"",1+MAX(A$1:$B31),"")</f>
        <v>14</v>
      </c>
      <c r="C32" s="9" t="s">
        <v>195</v>
      </c>
      <c r="D32" s="9"/>
      <c r="E32" s="10" t="s">
        <v>187</v>
      </c>
      <c r="F32" s="13">
        <v>259.17</v>
      </c>
      <c r="G32" s="26">
        <v>0.1</v>
      </c>
      <c r="H32" s="27">
        <f>(1+G32)*F32</f>
        <v>285.08700000000005</v>
      </c>
      <c r="I32" s="14" t="s">
        <v>30</v>
      </c>
      <c r="J32" s="15">
        <v>0.64000000000000012</v>
      </c>
      <c r="K32" s="15">
        <v>0.96</v>
      </c>
      <c r="L32" s="16">
        <f>J32*H32</f>
        <v>182.45568000000006</v>
      </c>
      <c r="M32" s="29">
        <f>K32*H32</f>
        <v>273.68352000000004</v>
      </c>
      <c r="N32" s="75">
        <f t="shared" ref="N32" si="13">M32+L32</f>
        <v>456.13920000000007</v>
      </c>
      <c r="O32" s="1"/>
      <c r="P32" s="1"/>
      <c r="Q32" s="7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</row>
    <row r="33" spans="1:32" ht="15.75" x14ac:dyDescent="0.25">
      <c r="B33" s="74">
        <f>IF(I33&lt;&gt;"",1+MAX(A$1:$B32),"")</f>
        <v>15</v>
      </c>
      <c r="C33" s="9" t="s">
        <v>195</v>
      </c>
      <c r="D33" s="9"/>
      <c r="E33" s="10" t="s">
        <v>165</v>
      </c>
      <c r="F33" s="13">
        <f>(123.66/2)*2*0.668</f>
        <v>82.604880000000009</v>
      </c>
      <c r="G33" s="26">
        <v>0</v>
      </c>
      <c r="H33" s="27">
        <f>(1+G33)*F33</f>
        <v>82.604880000000009</v>
      </c>
      <c r="I33" s="14" t="s">
        <v>41</v>
      </c>
      <c r="J33" s="15">
        <v>0.60000000000000009</v>
      </c>
      <c r="K33" s="15">
        <v>0.89999999999999991</v>
      </c>
      <c r="L33" s="16">
        <f>J33*H33</f>
        <v>49.562928000000014</v>
      </c>
      <c r="M33" s="29">
        <f>K33*H33</f>
        <v>74.344391999999999</v>
      </c>
      <c r="N33" s="75">
        <f t="shared" si="11"/>
        <v>123.90732000000001</v>
      </c>
      <c r="O33" s="1"/>
      <c r="P33" s="1"/>
      <c r="Q33" s="7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</row>
    <row r="34" spans="1:32" ht="15.75" x14ac:dyDescent="0.25">
      <c r="B34" s="74" t="str">
        <f>IF(I34&lt;&gt;"",1+MAX(A$1:$B33),"")</f>
        <v/>
      </c>
      <c r="C34" s="9"/>
      <c r="D34" s="9"/>
      <c r="E34" s="10"/>
      <c r="F34" s="13"/>
      <c r="G34" s="26"/>
      <c r="H34" s="27"/>
      <c r="I34" s="14"/>
      <c r="J34" s="15" t="s">
        <v>28</v>
      </c>
      <c r="K34" s="15" t="s">
        <v>28</v>
      </c>
      <c r="L34" s="16"/>
      <c r="M34" s="29"/>
      <c r="N34" s="75"/>
      <c r="O34" s="1"/>
      <c r="P34" s="1"/>
      <c r="Q34" s="7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</row>
    <row r="35" spans="1:32" ht="15.75" x14ac:dyDescent="0.25">
      <c r="A35" s="28"/>
      <c r="B35" s="74" t="str">
        <f>IF(I35&lt;&gt;"",1+MAX(A$1:$B34),"")</f>
        <v/>
      </c>
      <c r="C35" s="8"/>
      <c r="D35" s="14"/>
      <c r="E35" s="18" t="s">
        <v>2</v>
      </c>
      <c r="F35" s="17"/>
      <c r="G35" s="17"/>
      <c r="H35" s="13"/>
      <c r="I35" s="17"/>
      <c r="J35" s="20" t="s">
        <v>28</v>
      </c>
      <c r="K35" s="20" t="s">
        <v>28</v>
      </c>
      <c r="L35" s="76">
        <f>SUM(L29:L33)</f>
        <v>1122.7571013333336</v>
      </c>
      <c r="M35" s="76">
        <f>SUM(M29:M33)</f>
        <v>1684.1356519999999</v>
      </c>
      <c r="N35" s="76">
        <f>SUM(N29:N33)</f>
        <v>2806.8927533333335</v>
      </c>
      <c r="O35" s="30"/>
      <c r="P35" s="30"/>
      <c r="Q35" s="7"/>
      <c r="R35" s="30"/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30"/>
      <c r="AE35" s="30"/>
      <c r="AF35" s="30"/>
    </row>
    <row r="36" spans="1:32" ht="15.75" x14ac:dyDescent="0.25">
      <c r="B36" s="77" t="str">
        <f>IF(I36&lt;&gt;"",1+MAX(A$1:$B35),"")</f>
        <v/>
      </c>
      <c r="C36" s="31"/>
      <c r="D36" s="70">
        <v>5</v>
      </c>
      <c r="E36" s="71" t="s">
        <v>160</v>
      </c>
      <c r="F36" s="21"/>
      <c r="G36" s="21"/>
      <c r="H36" s="21"/>
      <c r="I36" s="21"/>
      <c r="J36" s="21" t="s">
        <v>28</v>
      </c>
      <c r="K36" s="21" t="s">
        <v>28</v>
      </c>
      <c r="L36" s="21"/>
      <c r="M36" s="21"/>
      <c r="N36" s="78"/>
      <c r="O36" s="22"/>
      <c r="P36" s="1"/>
      <c r="Q36" s="7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</row>
    <row r="37" spans="1:32" ht="15.75" x14ac:dyDescent="0.25">
      <c r="B37" s="74" t="str">
        <f>IF(I37&lt;&gt;"",1+MAX(A$1:$B36),"")</f>
        <v/>
      </c>
      <c r="C37" s="23"/>
      <c r="D37" s="9"/>
      <c r="E37" s="10"/>
      <c r="F37" s="11"/>
      <c r="G37" s="12"/>
      <c r="H37" s="13"/>
      <c r="I37" s="14"/>
      <c r="J37" s="15" t="s">
        <v>28</v>
      </c>
      <c r="K37" s="15" t="s">
        <v>28</v>
      </c>
      <c r="L37" s="16"/>
      <c r="M37" s="16"/>
      <c r="N37" s="75"/>
      <c r="O37" s="94"/>
      <c r="P37" s="1"/>
      <c r="Q37" s="7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</row>
    <row r="38" spans="1:32" ht="15.75" x14ac:dyDescent="0.25">
      <c r="B38" s="74" t="str">
        <f>IF(I38&lt;&gt;"",1+MAX(A$1:$B37),"")</f>
        <v/>
      </c>
      <c r="C38" s="23"/>
      <c r="D38" s="25"/>
      <c r="E38" s="96" t="s">
        <v>161</v>
      </c>
      <c r="F38" s="13"/>
      <c r="G38" s="26"/>
      <c r="H38" s="27"/>
      <c r="I38" s="24"/>
      <c r="J38" s="15" t="s">
        <v>28</v>
      </c>
      <c r="K38" s="15" t="s">
        <v>28</v>
      </c>
      <c r="L38" s="15"/>
      <c r="M38" s="15"/>
      <c r="N38" s="79"/>
      <c r="O38" s="22"/>
      <c r="P38" s="22"/>
      <c r="Q38" s="7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</row>
    <row r="39" spans="1:32" ht="15.75" x14ac:dyDescent="0.25">
      <c r="B39" s="74">
        <f>IF(I39&lt;&gt;"",1+MAX(A$1:$B38),"")</f>
        <v>16</v>
      </c>
      <c r="C39" s="9" t="s">
        <v>195</v>
      </c>
      <c r="D39" s="9"/>
      <c r="E39" s="10" t="s">
        <v>196</v>
      </c>
      <c r="F39" s="13">
        <f>22*10*28.3</f>
        <v>6226</v>
      </c>
      <c r="G39" s="26">
        <v>0.1</v>
      </c>
      <c r="H39" s="27">
        <f>(1+G39)*F39</f>
        <v>6848.6</v>
      </c>
      <c r="I39" s="14" t="s">
        <v>41</v>
      </c>
      <c r="J39" s="15">
        <v>1.8</v>
      </c>
      <c r="K39" s="15">
        <v>2.7</v>
      </c>
      <c r="L39" s="16">
        <f>J39*H39</f>
        <v>12327.480000000001</v>
      </c>
      <c r="M39" s="29">
        <f>K39*H39</f>
        <v>18491.22</v>
      </c>
      <c r="N39" s="75">
        <f>M39+L39</f>
        <v>30818.700000000004</v>
      </c>
      <c r="O39" s="1"/>
      <c r="P39" s="1"/>
      <c r="Q39" s="7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</row>
    <row r="40" spans="1:32" ht="15.75" x14ac:dyDescent="0.25">
      <c r="B40" s="74" t="str">
        <f>IF(I40&lt;&gt;"",1+MAX(A$1:$B39),"")</f>
        <v/>
      </c>
      <c r="C40" s="9"/>
      <c r="D40" s="9"/>
      <c r="E40" s="10"/>
      <c r="F40" s="13"/>
      <c r="G40" s="26"/>
      <c r="H40" s="27"/>
      <c r="I40" s="14"/>
      <c r="J40" s="15" t="s">
        <v>28</v>
      </c>
      <c r="K40" s="15" t="s">
        <v>28</v>
      </c>
      <c r="L40" s="16"/>
      <c r="M40" s="29"/>
      <c r="N40" s="75"/>
      <c r="O40" s="1"/>
      <c r="P40" s="1"/>
      <c r="Q40" s="7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</row>
    <row r="41" spans="1:32" ht="15.75" x14ac:dyDescent="0.25">
      <c r="B41" s="74">
        <f>IF(I41&lt;&gt;"",1+MAX(A$1:$B40),"")</f>
        <v>17</v>
      </c>
      <c r="C41" s="9" t="s">
        <v>195</v>
      </c>
      <c r="D41" s="9"/>
      <c r="E41" s="10" t="s">
        <v>183</v>
      </c>
      <c r="F41" s="13">
        <v>8</v>
      </c>
      <c r="G41" s="26">
        <v>0</v>
      </c>
      <c r="H41" s="27">
        <f>(1+G41)*F41</f>
        <v>8</v>
      </c>
      <c r="I41" s="14" t="s">
        <v>29</v>
      </c>
      <c r="J41" s="15">
        <v>44</v>
      </c>
      <c r="K41" s="15">
        <v>66</v>
      </c>
      <c r="L41" s="16">
        <f>J41*H41</f>
        <v>352</v>
      </c>
      <c r="M41" s="29">
        <f>K41*H41</f>
        <v>528</v>
      </c>
      <c r="N41" s="75">
        <f t="shared" ref="N41:N52" si="14">M41+L41</f>
        <v>880</v>
      </c>
      <c r="O41" s="1"/>
      <c r="P41" s="1"/>
      <c r="Q41" s="7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</row>
    <row r="42" spans="1:32" ht="15.75" x14ac:dyDescent="0.25">
      <c r="B42" s="74">
        <f>IF(I42&lt;&gt;"",1+MAX(A$1:$B41),"")</f>
        <v>18</v>
      </c>
      <c r="C42" s="9" t="s">
        <v>195</v>
      </c>
      <c r="D42" s="9"/>
      <c r="E42" s="10" t="s">
        <v>184</v>
      </c>
      <c r="F42" s="13">
        <v>2</v>
      </c>
      <c r="G42" s="26">
        <v>0</v>
      </c>
      <c r="H42" s="27">
        <f>(1+G42)*F42</f>
        <v>2</v>
      </c>
      <c r="I42" s="14" t="s">
        <v>29</v>
      </c>
      <c r="J42" s="15">
        <v>44</v>
      </c>
      <c r="K42" s="15">
        <v>66</v>
      </c>
      <c r="L42" s="16">
        <f>J42*H42</f>
        <v>88</v>
      </c>
      <c r="M42" s="29">
        <f>K42*H42</f>
        <v>132</v>
      </c>
      <c r="N42" s="75">
        <f t="shared" ref="N42" si="15">M42+L42</f>
        <v>220</v>
      </c>
      <c r="O42" s="1"/>
      <c r="P42" s="1"/>
      <c r="Q42" s="7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</row>
    <row r="43" spans="1:32" ht="15.75" x14ac:dyDescent="0.25">
      <c r="B43" s="74" t="str">
        <f>IF(I43&lt;&gt;"",1+MAX(A$1:$B42),"")</f>
        <v/>
      </c>
      <c r="C43" s="9"/>
      <c r="D43" s="9"/>
      <c r="E43" s="10"/>
      <c r="F43" s="13"/>
      <c r="G43" s="26"/>
      <c r="H43" s="27"/>
      <c r="I43" s="14"/>
      <c r="J43" s="15" t="s">
        <v>28</v>
      </c>
      <c r="K43" s="15" t="s">
        <v>28</v>
      </c>
      <c r="L43" s="16"/>
      <c r="M43" s="29"/>
      <c r="N43" s="75"/>
      <c r="O43" s="1"/>
      <c r="P43" s="1"/>
      <c r="Q43" s="7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</row>
    <row r="44" spans="1:32" ht="15.75" x14ac:dyDescent="0.25">
      <c r="B44" s="74">
        <f>IF(I44&lt;&gt;"",1+MAX(A$1:$B43),"")</f>
        <v>19</v>
      </c>
      <c r="C44" s="9" t="s">
        <v>195</v>
      </c>
      <c r="D44" s="9"/>
      <c r="E44" s="10" t="s">
        <v>189</v>
      </c>
      <c r="F44" s="13">
        <v>10</v>
      </c>
      <c r="G44" s="26">
        <v>0</v>
      </c>
      <c r="H44" s="27">
        <f>(1+G44)*F44</f>
        <v>10</v>
      </c>
      <c r="I44" s="14" t="s">
        <v>29</v>
      </c>
      <c r="J44" s="15">
        <v>34</v>
      </c>
      <c r="K44" s="15">
        <v>51</v>
      </c>
      <c r="L44" s="16">
        <f>J44*H44</f>
        <v>340</v>
      </c>
      <c r="M44" s="29">
        <f>K44*H44</f>
        <v>510</v>
      </c>
      <c r="N44" s="75">
        <f t="shared" ref="N44" si="16">M44+L44</f>
        <v>850</v>
      </c>
      <c r="O44" s="1"/>
      <c r="P44" s="1"/>
      <c r="Q44" s="7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</row>
    <row r="45" spans="1:32" ht="15.75" x14ac:dyDescent="0.25">
      <c r="B45" s="74" t="str">
        <f>IF(I45&lt;&gt;"",1+MAX(A$1:$B44),"")</f>
        <v/>
      </c>
      <c r="C45" s="9"/>
      <c r="D45" s="9"/>
      <c r="E45" s="10"/>
      <c r="F45" s="13"/>
      <c r="G45" s="26"/>
      <c r="H45" s="27"/>
      <c r="I45" s="14"/>
      <c r="J45" s="15" t="s">
        <v>28</v>
      </c>
      <c r="K45" s="15" t="s">
        <v>28</v>
      </c>
      <c r="L45" s="16"/>
      <c r="M45" s="29"/>
      <c r="N45" s="75"/>
      <c r="O45" s="1"/>
      <c r="P45" s="1"/>
      <c r="Q45" s="7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</row>
    <row r="46" spans="1:32" ht="15.75" x14ac:dyDescent="0.25">
      <c r="B46" s="74" t="str">
        <f>IF(I46&lt;&gt;"",1+MAX(A$1:$B45),"")</f>
        <v/>
      </c>
      <c r="C46" s="23"/>
      <c r="D46" s="25"/>
      <c r="E46" s="96" t="s">
        <v>166</v>
      </c>
      <c r="F46" s="13"/>
      <c r="G46" s="26"/>
      <c r="H46" s="27"/>
      <c r="I46" s="24"/>
      <c r="J46" s="15" t="s">
        <v>28</v>
      </c>
      <c r="K46" s="15" t="s">
        <v>28</v>
      </c>
      <c r="L46" s="15"/>
      <c r="M46" s="15"/>
      <c r="N46" s="79"/>
      <c r="O46" s="22"/>
      <c r="P46" s="22"/>
      <c r="Q46" s="7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</row>
    <row r="47" spans="1:32" ht="15.75" x14ac:dyDescent="0.25">
      <c r="B47" s="74">
        <f>IF(I47&lt;&gt;"",1+MAX(A$1:$B46),"")</f>
        <v>20</v>
      </c>
      <c r="C47" s="9" t="s">
        <v>197</v>
      </c>
      <c r="D47" s="9"/>
      <c r="E47" s="10" t="s">
        <v>167</v>
      </c>
      <c r="F47" s="13">
        <f>198.39*11.3</f>
        <v>2241.8069999999998</v>
      </c>
      <c r="G47" s="26">
        <v>0.1</v>
      </c>
      <c r="H47" s="27">
        <f>(1+G47)*F47</f>
        <v>2465.9877000000001</v>
      </c>
      <c r="I47" s="14" t="s">
        <v>41</v>
      </c>
      <c r="J47" s="15">
        <v>1.8</v>
      </c>
      <c r="K47" s="15">
        <v>2.7</v>
      </c>
      <c r="L47" s="16">
        <f>J47*H47</f>
        <v>4438.7778600000001</v>
      </c>
      <c r="M47" s="29">
        <f>K47*H47</f>
        <v>6658.1667900000011</v>
      </c>
      <c r="N47" s="75">
        <f t="shared" si="14"/>
        <v>11096.944650000001</v>
      </c>
      <c r="O47" s="1"/>
      <c r="P47" s="1"/>
      <c r="Q47" s="7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</row>
    <row r="48" spans="1:32" ht="15.75" x14ac:dyDescent="0.25">
      <c r="B48" s="74">
        <f>IF(I48&lt;&gt;"",1+MAX(A$1:$B47),"")</f>
        <v>21</v>
      </c>
      <c r="C48" s="9" t="s">
        <v>197</v>
      </c>
      <c r="D48" s="9"/>
      <c r="E48" s="10" t="s">
        <v>168</v>
      </c>
      <c r="F48" s="13">
        <f>63.54*8.2</f>
        <v>521.02799999999991</v>
      </c>
      <c r="G48" s="26">
        <v>0.1</v>
      </c>
      <c r="H48" s="27">
        <f>(1+G48)*F48</f>
        <v>573.13079999999991</v>
      </c>
      <c r="I48" s="14" t="s">
        <v>41</v>
      </c>
      <c r="J48" s="15">
        <v>1.8</v>
      </c>
      <c r="K48" s="15">
        <v>2.7</v>
      </c>
      <c r="L48" s="16">
        <f>J48*H48</f>
        <v>1031.6354399999998</v>
      </c>
      <c r="M48" s="29">
        <f>K48*H48</f>
        <v>1547.4531599999998</v>
      </c>
      <c r="N48" s="75">
        <f t="shared" si="14"/>
        <v>2579.0885999999996</v>
      </c>
      <c r="O48" s="1"/>
      <c r="P48" s="1"/>
      <c r="Q48" s="7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</row>
    <row r="49" spans="1:32" ht="15.75" x14ac:dyDescent="0.25">
      <c r="B49" s="74" t="str">
        <f>IF(I49&lt;&gt;"",1+MAX(A$1:$B48),"")</f>
        <v/>
      </c>
      <c r="C49" s="9"/>
      <c r="D49" s="9"/>
      <c r="E49" s="10"/>
      <c r="F49" s="13"/>
      <c r="G49" s="26"/>
      <c r="H49" s="27"/>
      <c r="I49" s="14"/>
      <c r="J49" s="15" t="s">
        <v>28</v>
      </c>
      <c r="K49" s="15" t="s">
        <v>28</v>
      </c>
      <c r="L49" s="16"/>
      <c r="M49" s="29"/>
      <c r="N49" s="75"/>
      <c r="O49" s="1"/>
      <c r="P49" s="1"/>
      <c r="Q49" s="7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</row>
    <row r="50" spans="1:32" ht="15.75" x14ac:dyDescent="0.25">
      <c r="B50" s="74" t="str">
        <f>IF(I50&lt;&gt;"",1+MAX(A$1:$B49),"")</f>
        <v/>
      </c>
      <c r="C50" s="23"/>
      <c r="D50" s="25"/>
      <c r="E50" s="96" t="s">
        <v>169</v>
      </c>
      <c r="F50" s="13"/>
      <c r="G50" s="26"/>
      <c r="H50" s="27"/>
      <c r="I50" s="24"/>
      <c r="J50" s="15" t="s">
        <v>28</v>
      </c>
      <c r="K50" s="15" t="s">
        <v>28</v>
      </c>
      <c r="L50" s="15"/>
      <c r="M50" s="15"/>
      <c r="N50" s="79"/>
      <c r="O50" s="22"/>
      <c r="P50" s="22"/>
      <c r="Q50" s="7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</row>
    <row r="51" spans="1:32" ht="15.75" x14ac:dyDescent="0.25">
      <c r="B51" s="74">
        <f>IF(I51&lt;&gt;"",1+MAX(A$1:$B50),"")</f>
        <v>22</v>
      </c>
      <c r="C51" s="9" t="s">
        <v>197</v>
      </c>
      <c r="D51" s="9"/>
      <c r="E51" s="10" t="s">
        <v>170</v>
      </c>
      <c r="F51" s="13">
        <v>1539.12</v>
      </c>
      <c r="G51" s="26">
        <v>0.1</v>
      </c>
      <c r="H51" s="27">
        <f>(1+G51)*F51</f>
        <v>1693.0319999999999</v>
      </c>
      <c r="I51" s="14" t="s">
        <v>38</v>
      </c>
      <c r="J51" s="15">
        <v>2.6</v>
      </c>
      <c r="K51" s="15">
        <v>3.9</v>
      </c>
      <c r="L51" s="16">
        <f>J51*H51</f>
        <v>4401.8832000000002</v>
      </c>
      <c r="M51" s="29">
        <f>K51*H51</f>
        <v>6602.8247999999994</v>
      </c>
      <c r="N51" s="75">
        <f t="shared" si="14"/>
        <v>11004.707999999999</v>
      </c>
      <c r="O51" s="1"/>
      <c r="P51" s="1"/>
      <c r="Q51" s="7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</row>
    <row r="52" spans="1:32" ht="15.75" x14ac:dyDescent="0.25">
      <c r="B52" s="74">
        <f>IF(I52&lt;&gt;"",1+MAX(A$1:$B51),"")</f>
        <v>23</v>
      </c>
      <c r="C52" s="9" t="s">
        <v>197</v>
      </c>
      <c r="D52" s="9"/>
      <c r="E52" s="10" t="s">
        <v>173</v>
      </c>
      <c r="F52" s="13">
        <v>84.01</v>
      </c>
      <c r="G52" s="26">
        <v>0.1</v>
      </c>
      <c r="H52" s="27">
        <f>(1+G52)*F52</f>
        <v>92.411000000000016</v>
      </c>
      <c r="I52" s="14" t="s">
        <v>38</v>
      </c>
      <c r="J52" s="15">
        <v>2.4800000000000004</v>
      </c>
      <c r="K52" s="15">
        <v>3.7199999999999998</v>
      </c>
      <c r="L52" s="16">
        <f>J52*H52</f>
        <v>229.17928000000009</v>
      </c>
      <c r="M52" s="29">
        <f>K52*H52</f>
        <v>343.76892000000004</v>
      </c>
      <c r="N52" s="75">
        <f t="shared" si="14"/>
        <v>572.94820000000016</v>
      </c>
      <c r="O52" s="1"/>
      <c r="P52" s="1"/>
      <c r="Q52" s="7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</row>
    <row r="53" spans="1:32" ht="15.75" x14ac:dyDescent="0.25">
      <c r="B53" s="74" t="str">
        <f>IF(I53&lt;&gt;"",1+MAX(A$1:$B52),"")</f>
        <v/>
      </c>
      <c r="C53" s="9"/>
      <c r="D53" s="9"/>
      <c r="E53" s="10"/>
      <c r="F53" s="13"/>
      <c r="G53" s="26"/>
      <c r="H53" s="27"/>
      <c r="I53" s="14"/>
      <c r="J53" s="15" t="s">
        <v>28</v>
      </c>
      <c r="K53" s="15" t="s">
        <v>28</v>
      </c>
      <c r="L53" s="16"/>
      <c r="M53" s="29"/>
      <c r="N53" s="75"/>
      <c r="O53" s="1"/>
      <c r="P53" s="1"/>
      <c r="Q53" s="7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</row>
    <row r="54" spans="1:32" ht="15.75" x14ac:dyDescent="0.25">
      <c r="B54" s="74" t="str">
        <f>IF(I54&lt;&gt;"",1+MAX(A$1:$B53),"")</f>
        <v/>
      </c>
      <c r="C54" s="23"/>
      <c r="D54" s="25"/>
      <c r="E54" s="96" t="s">
        <v>171</v>
      </c>
      <c r="F54" s="13"/>
      <c r="G54" s="26"/>
      <c r="H54" s="27"/>
      <c r="I54" s="24"/>
      <c r="J54" s="15" t="s">
        <v>28</v>
      </c>
      <c r="K54" s="15" t="s">
        <v>28</v>
      </c>
      <c r="L54" s="15"/>
      <c r="M54" s="15"/>
      <c r="N54" s="79"/>
      <c r="O54" s="22"/>
      <c r="P54" s="22"/>
      <c r="Q54" s="7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</row>
    <row r="55" spans="1:32" ht="15.75" x14ac:dyDescent="0.25">
      <c r="B55" s="74">
        <f>IF(I55&lt;&gt;"",1+MAX(A$1:$B54),"")</f>
        <v>24</v>
      </c>
      <c r="C55" s="9" t="s">
        <v>197</v>
      </c>
      <c r="D55" s="9"/>
      <c r="E55" s="10" t="s">
        <v>172</v>
      </c>
      <c r="F55" s="13">
        <v>1016.03</v>
      </c>
      <c r="G55" s="26">
        <v>0.1</v>
      </c>
      <c r="H55" s="27">
        <f>(1+G55)*F55</f>
        <v>1117.633</v>
      </c>
      <c r="I55" s="14" t="s">
        <v>30</v>
      </c>
      <c r="J55" s="15">
        <v>2.3000000000000003</v>
      </c>
      <c r="K55" s="15">
        <v>3.4499999999999997</v>
      </c>
      <c r="L55" s="16">
        <f>J55*H55</f>
        <v>2570.5559000000003</v>
      </c>
      <c r="M55" s="29">
        <f>K55*H55</f>
        <v>3855.83385</v>
      </c>
      <c r="N55" s="75">
        <f t="shared" ref="N55" si="17">M55+L55</f>
        <v>6426.3897500000003</v>
      </c>
      <c r="O55" s="1"/>
      <c r="P55" s="1"/>
      <c r="Q55" s="7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</row>
    <row r="56" spans="1:32" ht="15.75" x14ac:dyDescent="0.25">
      <c r="B56" s="74" t="str">
        <f>IF(I56&lt;&gt;"",1+MAX(A$1:$B55),"")</f>
        <v/>
      </c>
      <c r="C56" s="9"/>
      <c r="D56" s="9"/>
      <c r="E56" s="10"/>
      <c r="F56" s="13"/>
      <c r="G56" s="26"/>
      <c r="H56" s="27"/>
      <c r="I56" s="14"/>
      <c r="J56" s="15" t="s">
        <v>28</v>
      </c>
      <c r="K56" s="15" t="s">
        <v>28</v>
      </c>
      <c r="L56" s="16"/>
      <c r="M56" s="29"/>
      <c r="N56" s="75"/>
      <c r="O56" s="1"/>
      <c r="P56" s="1"/>
      <c r="Q56" s="7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</row>
    <row r="57" spans="1:32" ht="15.75" x14ac:dyDescent="0.25">
      <c r="B57" s="74" t="str">
        <f>IF(I57&lt;&gt;"",1+MAX(A$1:$B56),"")</f>
        <v/>
      </c>
      <c r="C57" s="23"/>
      <c r="D57" s="25"/>
      <c r="E57" s="96" t="s">
        <v>37</v>
      </c>
      <c r="F57" s="13"/>
      <c r="G57" s="26"/>
      <c r="H57" s="27"/>
      <c r="I57" s="24"/>
      <c r="J57" s="15" t="s">
        <v>28</v>
      </c>
      <c r="K57" s="15" t="s">
        <v>28</v>
      </c>
      <c r="L57" s="15"/>
      <c r="M57" s="15"/>
      <c r="N57" s="79"/>
      <c r="O57" s="22"/>
      <c r="P57" s="22"/>
      <c r="Q57" s="7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</row>
    <row r="58" spans="1:32" ht="15.75" x14ac:dyDescent="0.25">
      <c r="B58" s="74">
        <f>IF(I58&lt;&gt;"",1+MAX(A$1:$B57),"")</f>
        <v>25</v>
      </c>
      <c r="C58" s="9" t="s">
        <v>194</v>
      </c>
      <c r="D58" s="9"/>
      <c r="E58" s="10" t="s">
        <v>174</v>
      </c>
      <c r="F58" s="13">
        <v>29.45</v>
      </c>
      <c r="G58" s="26">
        <v>0.1</v>
      </c>
      <c r="H58" s="27">
        <f>(1+G58)*F58</f>
        <v>32.395000000000003</v>
      </c>
      <c r="I58" s="14" t="s">
        <v>38</v>
      </c>
      <c r="J58" s="15">
        <v>6.4</v>
      </c>
      <c r="K58" s="15">
        <v>9.6</v>
      </c>
      <c r="L58" s="16">
        <f>J58*H58</f>
        <v>207.32800000000003</v>
      </c>
      <c r="M58" s="29">
        <f>K58*H58</f>
        <v>310.99200000000002</v>
      </c>
      <c r="N58" s="75">
        <f t="shared" ref="N58:N59" si="18">M58+L58</f>
        <v>518.32000000000005</v>
      </c>
      <c r="O58" s="1"/>
      <c r="P58" s="1"/>
      <c r="Q58" s="7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</row>
    <row r="59" spans="1:32" ht="15.75" x14ac:dyDescent="0.25">
      <c r="B59" s="74">
        <f>IF(I59&lt;&gt;"",1+MAX(A$1:$B58),"")</f>
        <v>26</v>
      </c>
      <c r="C59" s="9" t="s">
        <v>198</v>
      </c>
      <c r="D59" s="9"/>
      <c r="E59" s="10" t="s">
        <v>190</v>
      </c>
      <c r="F59" s="13">
        <v>92</v>
      </c>
      <c r="G59" s="26">
        <v>0.1</v>
      </c>
      <c r="H59" s="27">
        <f t="shared" ref="H59" si="19">(1+G59)*F59</f>
        <v>101.2</v>
      </c>
      <c r="I59" s="14" t="s">
        <v>38</v>
      </c>
      <c r="J59" s="15">
        <v>1.8</v>
      </c>
      <c r="K59" s="15">
        <v>2.7</v>
      </c>
      <c r="L59" s="16">
        <f>J59*H59</f>
        <v>182.16</v>
      </c>
      <c r="M59" s="29">
        <f>K59*H59</f>
        <v>273.24</v>
      </c>
      <c r="N59" s="75">
        <f t="shared" si="18"/>
        <v>455.4</v>
      </c>
      <c r="O59" s="1"/>
      <c r="P59" s="1"/>
      <c r="Q59" s="7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</row>
    <row r="60" spans="1:32" ht="15.75" x14ac:dyDescent="0.25">
      <c r="B60" s="74">
        <f>IF(I60&lt;&gt;"",1+MAX(A$1:$B59),"")</f>
        <v>27</v>
      </c>
      <c r="C60" s="9" t="s">
        <v>198</v>
      </c>
      <c r="D60" s="9"/>
      <c r="E60" s="10" t="s">
        <v>191</v>
      </c>
      <c r="F60" s="13">
        <v>10</v>
      </c>
      <c r="G60" s="26">
        <v>0</v>
      </c>
      <c r="H60" s="27">
        <f t="shared" ref="H60" si="20">(1+G60)*F60</f>
        <v>10</v>
      </c>
      <c r="I60" s="14" t="s">
        <v>29</v>
      </c>
      <c r="J60" s="15">
        <v>44</v>
      </c>
      <c r="K60" s="15">
        <v>66</v>
      </c>
      <c r="L60" s="16">
        <f>J60*H60</f>
        <v>440</v>
      </c>
      <c r="M60" s="29">
        <f>K60*H60</f>
        <v>660</v>
      </c>
      <c r="N60" s="75">
        <f t="shared" ref="N60" si="21">M60+L60</f>
        <v>1100</v>
      </c>
      <c r="O60" s="1"/>
      <c r="P60" s="1"/>
      <c r="Q60" s="7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</row>
    <row r="61" spans="1:32" ht="15.75" x14ac:dyDescent="0.25">
      <c r="B61" s="74">
        <f>IF(I61&lt;&gt;"",1+MAX(A$1:$B60),"")</f>
        <v>28</v>
      </c>
      <c r="C61" s="9" t="s">
        <v>198</v>
      </c>
      <c r="D61" s="9"/>
      <c r="E61" s="10" t="s">
        <v>192</v>
      </c>
      <c r="F61" s="13">
        <v>10</v>
      </c>
      <c r="G61" s="26">
        <v>0</v>
      </c>
      <c r="H61" s="27">
        <f t="shared" ref="H61" si="22">(1+G61)*F61</f>
        <v>10</v>
      </c>
      <c r="I61" s="14" t="s">
        <v>29</v>
      </c>
      <c r="J61" s="15">
        <v>30</v>
      </c>
      <c r="K61" s="15">
        <v>45</v>
      </c>
      <c r="L61" s="16">
        <f>J61*H61</f>
        <v>300</v>
      </c>
      <c r="M61" s="29">
        <f>K61*H61</f>
        <v>450</v>
      </c>
      <c r="N61" s="75">
        <f t="shared" ref="N61" si="23">M61+L61</f>
        <v>750</v>
      </c>
      <c r="O61" s="1"/>
      <c r="P61" s="1"/>
      <c r="Q61" s="7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</row>
    <row r="62" spans="1:32" ht="15.75" x14ac:dyDescent="0.25">
      <c r="B62" s="74" t="str">
        <f>IF(I62&lt;&gt;"",1+MAX(A$1:$B61),"")</f>
        <v/>
      </c>
      <c r="C62" s="9"/>
      <c r="D62" s="9"/>
      <c r="E62" s="10"/>
      <c r="F62" s="13"/>
      <c r="G62" s="26"/>
      <c r="H62" s="27"/>
      <c r="I62" s="14"/>
      <c r="J62" s="15" t="s">
        <v>28</v>
      </c>
      <c r="K62" s="15" t="s">
        <v>28</v>
      </c>
      <c r="L62" s="16"/>
      <c r="M62" s="29"/>
      <c r="N62" s="75"/>
      <c r="O62" s="1"/>
      <c r="P62" s="1"/>
      <c r="Q62" s="7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</row>
    <row r="63" spans="1:32" ht="15.75" x14ac:dyDescent="0.25">
      <c r="A63" s="28"/>
      <c r="B63" s="74" t="str">
        <f>IF(I63&lt;&gt;"",1+MAX(A$1:$B62),"")</f>
        <v/>
      </c>
      <c r="C63" s="8"/>
      <c r="D63" s="14"/>
      <c r="E63" s="18" t="s">
        <v>2</v>
      </c>
      <c r="F63" s="17"/>
      <c r="G63" s="17"/>
      <c r="H63" s="13"/>
      <c r="I63" s="17"/>
      <c r="J63" s="20" t="s">
        <v>28</v>
      </c>
      <c r="K63" s="20" t="s">
        <v>28</v>
      </c>
      <c r="L63" s="76">
        <f>SUM(L38:L61)</f>
        <v>26908.999680000001</v>
      </c>
      <c r="M63" s="76">
        <f>SUM(M38:M61)</f>
        <v>40363.499520000005</v>
      </c>
      <c r="N63" s="76">
        <f>SUM(N38:N61)</f>
        <v>67272.499200000006</v>
      </c>
      <c r="O63" s="30"/>
      <c r="P63" s="30"/>
      <c r="Q63" s="7"/>
      <c r="R63" s="30"/>
      <c r="S63" s="30"/>
      <c r="T63" s="30"/>
      <c r="U63" s="30"/>
      <c r="V63" s="30"/>
      <c r="W63" s="30"/>
      <c r="X63" s="30"/>
      <c r="Y63" s="30"/>
      <c r="Z63" s="30"/>
      <c r="AA63" s="30"/>
      <c r="AB63" s="30"/>
      <c r="AC63" s="30"/>
      <c r="AD63" s="30"/>
      <c r="AE63" s="30"/>
      <c r="AF63" s="30"/>
    </row>
    <row r="64" spans="1:32" ht="15.75" x14ac:dyDescent="0.25">
      <c r="B64" s="77" t="str">
        <f>IF(I64&lt;&gt;"",1+MAX(A$1:$B63),"")</f>
        <v/>
      </c>
      <c r="C64" s="31"/>
      <c r="D64" s="70">
        <v>6</v>
      </c>
      <c r="E64" s="71" t="s">
        <v>176</v>
      </c>
      <c r="F64" s="21"/>
      <c r="G64" s="21"/>
      <c r="H64" s="21"/>
      <c r="I64" s="21"/>
      <c r="J64" s="21" t="s">
        <v>28</v>
      </c>
      <c r="K64" s="21" t="s">
        <v>28</v>
      </c>
      <c r="L64" s="21"/>
      <c r="M64" s="21"/>
      <c r="N64" s="78"/>
      <c r="O64" s="22"/>
      <c r="P64" s="1"/>
      <c r="Q64" s="7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</row>
    <row r="65" spans="1:32" ht="15.75" x14ac:dyDescent="0.25">
      <c r="B65" s="74" t="str">
        <f>IF(I65&lt;&gt;"",1+MAX(A$1:$B64),"")</f>
        <v/>
      </c>
      <c r="C65" s="23"/>
      <c r="D65" s="9"/>
      <c r="E65" s="10"/>
      <c r="F65" s="11"/>
      <c r="G65" s="12"/>
      <c r="H65" s="13"/>
      <c r="I65" s="14"/>
      <c r="J65" s="15" t="s">
        <v>28</v>
      </c>
      <c r="K65" s="15" t="s">
        <v>28</v>
      </c>
      <c r="L65" s="16"/>
      <c r="M65" s="16"/>
      <c r="N65" s="75"/>
      <c r="O65" s="94"/>
      <c r="P65" s="1"/>
      <c r="Q65" s="7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</row>
    <row r="66" spans="1:32" ht="15.75" x14ac:dyDescent="0.25">
      <c r="B66" s="74" t="str">
        <f>IF(I66&lt;&gt;"",1+MAX(A$1:$B65),"")</f>
        <v/>
      </c>
      <c r="C66" s="23"/>
      <c r="D66" s="25"/>
      <c r="E66" s="96" t="s">
        <v>177</v>
      </c>
      <c r="F66" s="13"/>
      <c r="G66" s="26"/>
      <c r="H66" s="27"/>
      <c r="I66" s="24"/>
      <c r="J66" s="15" t="s">
        <v>28</v>
      </c>
      <c r="K66" s="15" t="s">
        <v>28</v>
      </c>
      <c r="L66" s="15"/>
      <c r="M66" s="15"/>
      <c r="N66" s="79"/>
      <c r="O66" s="22"/>
      <c r="P66" s="22"/>
      <c r="Q66" s="7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</row>
    <row r="67" spans="1:32" ht="15.75" x14ac:dyDescent="0.25">
      <c r="B67" s="74">
        <f>IF(I67&lt;&gt;"",1+MAX(A$1:$B66),"")</f>
        <v>29</v>
      </c>
      <c r="C67" s="9" t="s">
        <v>197</v>
      </c>
      <c r="D67" s="9"/>
      <c r="E67" s="10" t="s">
        <v>188</v>
      </c>
      <c r="F67" s="13">
        <v>523.09</v>
      </c>
      <c r="G67" s="26">
        <v>0.1</v>
      </c>
      <c r="H67" s="27">
        <f>(1+G67)*F67</f>
        <v>575.39900000000011</v>
      </c>
      <c r="I67" s="14" t="s">
        <v>30</v>
      </c>
      <c r="J67" s="15">
        <v>1.54</v>
      </c>
      <c r="K67" s="15">
        <v>2.31</v>
      </c>
      <c r="L67" s="16">
        <f>J67*H67</f>
        <v>886.11446000000024</v>
      </c>
      <c r="M67" s="29">
        <f>K67*H67</f>
        <v>1329.1716900000004</v>
      </c>
      <c r="N67" s="75">
        <f t="shared" ref="N67" si="24">M67+L67</f>
        <v>2215.2861500000008</v>
      </c>
      <c r="O67" s="1"/>
      <c r="P67" s="1"/>
      <c r="Q67" s="7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</row>
    <row r="68" spans="1:32" ht="15.75" x14ac:dyDescent="0.25">
      <c r="B68" s="74" t="str">
        <f>IF(I68&lt;&gt;"",1+MAX(A$1:$B67),"")</f>
        <v/>
      </c>
      <c r="C68" s="9"/>
      <c r="D68" s="9"/>
      <c r="E68" s="10"/>
      <c r="F68" s="13"/>
      <c r="G68" s="26"/>
      <c r="H68" s="27"/>
      <c r="I68" s="14"/>
      <c r="J68" s="15" t="s">
        <v>28</v>
      </c>
      <c r="K68" s="15" t="s">
        <v>28</v>
      </c>
      <c r="L68" s="16"/>
      <c r="M68" s="29"/>
      <c r="N68" s="75"/>
      <c r="O68" s="1"/>
      <c r="P68" s="1"/>
      <c r="Q68" s="7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</row>
    <row r="69" spans="1:32" ht="15.75" x14ac:dyDescent="0.25">
      <c r="A69" s="28"/>
      <c r="B69" s="74" t="str">
        <f>IF(I69&lt;&gt;"",1+MAX(A$1:$B68),"")</f>
        <v/>
      </c>
      <c r="C69" s="8"/>
      <c r="D69" s="14"/>
      <c r="E69" s="18" t="s">
        <v>2</v>
      </c>
      <c r="F69" s="17"/>
      <c r="G69" s="17"/>
      <c r="H69" s="13"/>
      <c r="I69" s="17"/>
      <c r="J69" s="20" t="s">
        <v>28</v>
      </c>
      <c r="K69" s="20" t="s">
        <v>28</v>
      </c>
      <c r="L69" s="76">
        <f>SUM(L66:L67)</f>
        <v>886.11446000000024</v>
      </c>
      <c r="M69" s="76">
        <f>SUM(M66:M67)</f>
        <v>1329.1716900000004</v>
      </c>
      <c r="N69" s="76">
        <f>SUM(N66:N67)</f>
        <v>2215.2861500000008</v>
      </c>
      <c r="O69" s="30"/>
      <c r="P69" s="30"/>
      <c r="Q69" s="7"/>
      <c r="R69" s="30"/>
      <c r="S69" s="30"/>
      <c r="T69" s="30"/>
      <c r="U69" s="30"/>
      <c r="V69" s="30"/>
      <c r="W69" s="30"/>
      <c r="X69" s="30"/>
      <c r="Y69" s="30"/>
      <c r="Z69" s="30"/>
      <c r="AA69" s="30"/>
      <c r="AB69" s="30"/>
      <c r="AC69" s="30"/>
      <c r="AD69" s="30"/>
      <c r="AE69" s="30"/>
      <c r="AF69" s="30"/>
    </row>
    <row r="70" spans="1:32" ht="15.75" x14ac:dyDescent="0.25">
      <c r="B70" s="77" t="str">
        <f>IF(I70&lt;&gt;"",1+MAX(A$1:$B69),"")</f>
        <v/>
      </c>
      <c r="C70" s="31"/>
      <c r="D70" s="70">
        <v>7</v>
      </c>
      <c r="E70" s="71" t="s">
        <v>157</v>
      </c>
      <c r="F70" s="21"/>
      <c r="G70" s="21"/>
      <c r="H70" s="21"/>
      <c r="I70" s="21"/>
      <c r="J70" s="21" t="s">
        <v>28</v>
      </c>
      <c r="K70" s="21" t="s">
        <v>28</v>
      </c>
      <c r="L70" s="21"/>
      <c r="M70" s="21"/>
      <c r="N70" s="78"/>
      <c r="O70" s="22"/>
      <c r="P70" s="1"/>
      <c r="Q70" s="7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</row>
    <row r="71" spans="1:32" ht="15.75" x14ac:dyDescent="0.25">
      <c r="B71" s="74" t="str">
        <f>IF(I71&lt;&gt;"",1+MAX(A$1:$B70),"")</f>
        <v/>
      </c>
      <c r="C71" s="23"/>
      <c r="D71" s="9"/>
      <c r="E71" s="10"/>
      <c r="F71" s="11"/>
      <c r="G71" s="12"/>
      <c r="H71" s="13"/>
      <c r="I71" s="14"/>
      <c r="J71" s="15" t="s">
        <v>28</v>
      </c>
      <c r="K71" s="15" t="s">
        <v>28</v>
      </c>
      <c r="L71" s="16"/>
      <c r="M71" s="16"/>
      <c r="N71" s="75"/>
      <c r="O71" s="94"/>
      <c r="P71" s="1"/>
      <c r="Q71" s="7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</row>
    <row r="72" spans="1:32" ht="15.75" x14ac:dyDescent="0.25">
      <c r="B72" s="74" t="str">
        <f>IF(I72&lt;&gt;"",1+MAX(A$1:$B71),"")</f>
        <v/>
      </c>
      <c r="C72" s="23"/>
      <c r="D72" s="25"/>
      <c r="E72" s="96" t="s">
        <v>158</v>
      </c>
      <c r="F72" s="13"/>
      <c r="G72" s="26"/>
      <c r="H72" s="27"/>
      <c r="I72" s="24"/>
      <c r="J72" s="15" t="s">
        <v>28</v>
      </c>
      <c r="K72" s="15" t="s">
        <v>28</v>
      </c>
      <c r="L72" s="15"/>
      <c r="M72" s="15"/>
      <c r="N72" s="79"/>
      <c r="O72" s="22"/>
      <c r="P72" s="22"/>
      <c r="Q72" s="7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</row>
    <row r="73" spans="1:32" ht="15.75" x14ac:dyDescent="0.25">
      <c r="B73" s="74">
        <f>IF(I73&lt;&gt;"",1+MAX(A$1:$B72),"")</f>
        <v>30</v>
      </c>
      <c r="C73" s="9" t="s">
        <v>199</v>
      </c>
      <c r="D73" s="9"/>
      <c r="E73" s="10" t="s">
        <v>159</v>
      </c>
      <c r="F73" s="13">
        <v>51.18</v>
      </c>
      <c r="G73" s="26">
        <v>0.1</v>
      </c>
      <c r="H73" s="27">
        <f>(1+G73)*F73</f>
        <v>56.298000000000002</v>
      </c>
      <c r="I73" s="14" t="s">
        <v>38</v>
      </c>
      <c r="J73" s="15">
        <v>6.8000000000000007</v>
      </c>
      <c r="K73" s="15">
        <v>10.199999999999999</v>
      </c>
      <c r="L73" s="16">
        <f>J73*H73</f>
        <v>382.82640000000004</v>
      </c>
      <c r="M73" s="29">
        <f>K73*H73</f>
        <v>574.2396</v>
      </c>
      <c r="N73" s="75">
        <f t="shared" ref="N73" si="25">M73+L73</f>
        <v>957.06600000000003</v>
      </c>
      <c r="O73" s="1"/>
      <c r="P73" s="1"/>
      <c r="Q73" s="7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</row>
    <row r="74" spans="1:32" ht="15.75" x14ac:dyDescent="0.25">
      <c r="B74" s="74" t="str">
        <f>IF(I74&lt;&gt;"",1+MAX(A$1:$B73),"")</f>
        <v/>
      </c>
      <c r="C74" s="9"/>
      <c r="D74" s="9"/>
      <c r="E74" s="10"/>
      <c r="F74" s="13"/>
      <c r="G74" s="26"/>
      <c r="H74" s="27"/>
      <c r="I74" s="14"/>
      <c r="J74" s="15" t="s">
        <v>28</v>
      </c>
      <c r="K74" s="15" t="s">
        <v>28</v>
      </c>
      <c r="L74" s="16"/>
      <c r="M74" s="29"/>
      <c r="N74" s="75"/>
      <c r="O74" s="1"/>
      <c r="P74" s="1"/>
      <c r="Q74" s="7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</row>
    <row r="75" spans="1:32" ht="15.75" x14ac:dyDescent="0.25">
      <c r="B75" s="74" t="str">
        <f>IF(I75&lt;&gt;"",1+MAX(A$1:$B74),"")</f>
        <v/>
      </c>
      <c r="C75" s="23"/>
      <c r="D75" s="25"/>
      <c r="E75" s="96" t="s">
        <v>236</v>
      </c>
      <c r="F75" s="13"/>
      <c r="G75" s="26"/>
      <c r="H75" s="27"/>
      <c r="I75" s="24"/>
      <c r="J75" s="15" t="s">
        <v>28</v>
      </c>
      <c r="K75" s="15" t="s">
        <v>28</v>
      </c>
      <c r="L75" s="15"/>
      <c r="M75" s="15"/>
      <c r="N75" s="79"/>
      <c r="O75" s="22"/>
      <c r="P75" s="22"/>
      <c r="Q75" s="7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</row>
    <row r="76" spans="1:32" ht="15.75" x14ac:dyDescent="0.25">
      <c r="B76" s="74">
        <f>IF(I76&lt;&gt;"",1+MAX(A$1:$B75),"")</f>
        <v>31</v>
      </c>
      <c r="C76" s="9" t="s">
        <v>199</v>
      </c>
      <c r="D76" s="9"/>
      <c r="E76" s="10" t="s">
        <v>237</v>
      </c>
      <c r="F76" s="13">
        <v>426</v>
      </c>
      <c r="G76" s="26">
        <v>0.1</v>
      </c>
      <c r="H76" s="27">
        <f>(1+G76)*F76</f>
        <v>468.6</v>
      </c>
      <c r="I76" s="14" t="s">
        <v>38</v>
      </c>
      <c r="J76" s="15">
        <v>0.4</v>
      </c>
      <c r="K76" s="15">
        <v>0.6</v>
      </c>
      <c r="L76" s="16">
        <f>J76*H76</f>
        <v>187.44000000000003</v>
      </c>
      <c r="M76" s="29">
        <f>K76*H76</f>
        <v>281.16000000000003</v>
      </c>
      <c r="N76" s="75">
        <f t="shared" ref="N76" si="26">M76+L76</f>
        <v>468.6</v>
      </c>
      <c r="O76" s="1"/>
      <c r="P76" s="1"/>
      <c r="Q76" s="7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</row>
    <row r="77" spans="1:32" ht="15.75" x14ac:dyDescent="0.25">
      <c r="B77" s="74" t="str">
        <f>IF(I77&lt;&gt;"",1+MAX(A$1:$B76),"")</f>
        <v/>
      </c>
      <c r="C77" s="9"/>
      <c r="D77" s="9"/>
      <c r="E77" s="10"/>
      <c r="F77" s="13"/>
      <c r="G77" s="26"/>
      <c r="H77" s="27"/>
      <c r="I77" s="14"/>
      <c r="J77" s="15" t="s">
        <v>28</v>
      </c>
      <c r="K77" s="15" t="s">
        <v>28</v>
      </c>
      <c r="L77" s="16"/>
      <c r="M77" s="29"/>
      <c r="N77" s="75"/>
      <c r="O77" s="1"/>
      <c r="P77" s="1"/>
      <c r="Q77" s="7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</row>
    <row r="78" spans="1:32" ht="15.75" x14ac:dyDescent="0.25">
      <c r="A78" s="28"/>
      <c r="B78" s="74" t="str">
        <f>IF(I78&lt;&gt;"",1+MAX(A$1:$B74),"")</f>
        <v/>
      </c>
      <c r="C78" s="8"/>
      <c r="D78" s="14"/>
      <c r="E78" s="18" t="s">
        <v>2</v>
      </c>
      <c r="F78" s="17"/>
      <c r="G78" s="17"/>
      <c r="H78" s="13"/>
      <c r="I78" s="17"/>
      <c r="J78" s="20" t="s">
        <v>28</v>
      </c>
      <c r="K78" s="20" t="s">
        <v>28</v>
      </c>
      <c r="L78" s="76">
        <f>SUM(L72:L76)</f>
        <v>570.26640000000009</v>
      </c>
      <c r="M78" s="76">
        <f>SUM(M72:M76)</f>
        <v>855.39959999999996</v>
      </c>
      <c r="N78" s="76">
        <f>SUM(N72:N76)</f>
        <v>1425.6660000000002</v>
      </c>
      <c r="O78" s="30"/>
      <c r="P78" s="30"/>
      <c r="Q78" s="7"/>
      <c r="R78" s="30"/>
      <c r="S78" s="30"/>
      <c r="T78" s="30"/>
      <c r="U78" s="30"/>
      <c r="V78" s="30"/>
      <c r="W78" s="30"/>
      <c r="X78" s="30"/>
      <c r="Y78" s="30"/>
      <c r="Z78" s="30"/>
      <c r="AA78" s="30"/>
      <c r="AB78" s="30"/>
      <c r="AC78" s="30"/>
      <c r="AD78" s="30"/>
      <c r="AE78" s="30"/>
      <c r="AF78" s="30"/>
    </row>
    <row r="79" spans="1:32" ht="15.75" x14ac:dyDescent="0.25">
      <c r="B79" s="77" t="str">
        <f>IF(I79&lt;&gt;"",1+MAX(A$1:$B78),"")</f>
        <v/>
      </c>
      <c r="C79" s="31"/>
      <c r="D79" s="70">
        <v>8</v>
      </c>
      <c r="E79" s="71" t="s">
        <v>48</v>
      </c>
      <c r="F79" s="21"/>
      <c r="G79" s="21"/>
      <c r="H79" s="21"/>
      <c r="I79" s="21"/>
      <c r="J79" s="21" t="s">
        <v>28</v>
      </c>
      <c r="K79" s="21" t="s">
        <v>28</v>
      </c>
      <c r="L79" s="21"/>
      <c r="M79" s="21"/>
      <c r="N79" s="78"/>
      <c r="O79" s="22"/>
      <c r="P79" s="1"/>
      <c r="Q79" s="7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</row>
    <row r="80" spans="1:32" ht="15.75" x14ac:dyDescent="0.25">
      <c r="B80" s="74" t="str">
        <f>IF(I80&lt;&gt;"",1+MAX(A$1:$B79),"")</f>
        <v/>
      </c>
      <c r="C80" s="23"/>
      <c r="D80" s="9"/>
      <c r="E80" s="10"/>
      <c r="F80" s="11"/>
      <c r="G80" s="12"/>
      <c r="H80" s="13"/>
      <c r="I80" s="14"/>
      <c r="J80" s="15" t="s">
        <v>28</v>
      </c>
      <c r="K80" s="15" t="s">
        <v>28</v>
      </c>
      <c r="L80" s="16"/>
      <c r="M80" s="16"/>
      <c r="N80" s="75"/>
      <c r="O80" s="94"/>
      <c r="P80" s="1"/>
      <c r="Q80" s="7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</row>
    <row r="81" spans="2:32" ht="15.75" x14ac:dyDescent="0.25">
      <c r="B81" s="74" t="str">
        <f>IF(I81&lt;&gt;"",1+MAX(A$1:$B80),"")</f>
        <v/>
      </c>
      <c r="C81" s="23"/>
      <c r="D81" s="25"/>
      <c r="E81" s="96" t="s">
        <v>49</v>
      </c>
      <c r="F81" s="13"/>
      <c r="G81" s="26"/>
      <c r="H81" s="27"/>
      <c r="I81" s="24"/>
      <c r="J81" s="15" t="s">
        <v>28</v>
      </c>
      <c r="K81" s="15" t="s">
        <v>28</v>
      </c>
      <c r="L81" s="15"/>
      <c r="M81" s="15"/>
      <c r="N81" s="79"/>
      <c r="O81" s="22"/>
      <c r="P81" s="22"/>
      <c r="Q81" s="7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</row>
    <row r="82" spans="2:32" ht="15.75" x14ac:dyDescent="0.25">
      <c r="B82" s="74">
        <f>IF(I82&lt;&gt;"",1+MAX(A$1:$B81),"")</f>
        <v>32</v>
      </c>
      <c r="C82" s="9" t="s">
        <v>200</v>
      </c>
      <c r="D82" s="9"/>
      <c r="E82" s="10" t="s">
        <v>90</v>
      </c>
      <c r="F82" s="13">
        <v>1</v>
      </c>
      <c r="G82" s="26">
        <v>0</v>
      </c>
      <c r="H82" s="27">
        <f t="shared" ref="H82:H89" si="27">(1+G82)*F82</f>
        <v>1</v>
      </c>
      <c r="I82" s="14" t="s">
        <v>29</v>
      </c>
      <c r="J82" s="15">
        <v>80</v>
      </c>
      <c r="K82" s="15">
        <v>720</v>
      </c>
      <c r="L82" s="16">
        <f t="shared" ref="L82:L89" si="28">J82*H82</f>
        <v>80</v>
      </c>
      <c r="M82" s="29">
        <f t="shared" ref="M82:M89" si="29">K82*H82</f>
        <v>720</v>
      </c>
      <c r="N82" s="75">
        <f t="shared" ref="N82:N89" si="30">M82+L82</f>
        <v>800</v>
      </c>
      <c r="O82" s="1"/>
      <c r="P82" s="1"/>
      <c r="Q82" s="7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</row>
    <row r="83" spans="2:32" ht="15.75" x14ac:dyDescent="0.25">
      <c r="B83" s="74">
        <f>IF(I83&lt;&gt;"",1+MAX(A$1:$B82),"")</f>
        <v>33</v>
      </c>
      <c r="C83" s="9" t="s">
        <v>200</v>
      </c>
      <c r="D83" s="9"/>
      <c r="E83" s="10" t="s">
        <v>91</v>
      </c>
      <c r="F83" s="13">
        <v>1</v>
      </c>
      <c r="G83" s="26">
        <v>0</v>
      </c>
      <c r="H83" s="27">
        <f t="shared" si="27"/>
        <v>1</v>
      </c>
      <c r="I83" s="14" t="s">
        <v>29</v>
      </c>
      <c r="J83" s="15">
        <v>85</v>
      </c>
      <c r="K83" s="15">
        <v>765</v>
      </c>
      <c r="L83" s="16">
        <f t="shared" si="28"/>
        <v>85</v>
      </c>
      <c r="M83" s="29">
        <f t="shared" si="29"/>
        <v>765</v>
      </c>
      <c r="N83" s="75">
        <f t="shared" si="30"/>
        <v>850</v>
      </c>
      <c r="O83" s="1"/>
      <c r="P83" s="1"/>
      <c r="Q83" s="7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</row>
    <row r="84" spans="2:32" ht="15.75" x14ac:dyDescent="0.25">
      <c r="B84" s="74">
        <f>IF(I84&lt;&gt;"",1+MAX(A$1:$B83),"")</f>
        <v>34</v>
      </c>
      <c r="C84" s="9" t="s">
        <v>200</v>
      </c>
      <c r="D84" s="9"/>
      <c r="E84" s="10" t="s">
        <v>88</v>
      </c>
      <c r="F84" s="13">
        <v>1</v>
      </c>
      <c r="G84" s="26">
        <v>0</v>
      </c>
      <c r="H84" s="27">
        <f t="shared" si="27"/>
        <v>1</v>
      </c>
      <c r="I84" s="14" t="s">
        <v>29</v>
      </c>
      <c r="J84" s="15">
        <v>90</v>
      </c>
      <c r="K84" s="15">
        <v>810</v>
      </c>
      <c r="L84" s="16">
        <f t="shared" si="28"/>
        <v>90</v>
      </c>
      <c r="M84" s="29">
        <f t="shared" si="29"/>
        <v>810</v>
      </c>
      <c r="N84" s="75">
        <f t="shared" si="30"/>
        <v>900</v>
      </c>
      <c r="O84" s="1"/>
      <c r="P84" s="1"/>
      <c r="Q84" s="7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</row>
    <row r="85" spans="2:32" ht="15.75" x14ac:dyDescent="0.25">
      <c r="B85" s="74">
        <f>IF(I85&lt;&gt;"",1+MAX(A$1:$B84),"")</f>
        <v>35</v>
      </c>
      <c r="C85" s="9" t="s">
        <v>200</v>
      </c>
      <c r="D85" s="9"/>
      <c r="E85" s="10" t="s">
        <v>89</v>
      </c>
      <c r="F85" s="13">
        <v>1</v>
      </c>
      <c r="G85" s="26">
        <v>0</v>
      </c>
      <c r="H85" s="27">
        <f t="shared" si="27"/>
        <v>1</v>
      </c>
      <c r="I85" s="14" t="s">
        <v>29</v>
      </c>
      <c r="J85" s="15">
        <v>90</v>
      </c>
      <c r="K85" s="15">
        <v>810</v>
      </c>
      <c r="L85" s="16">
        <f t="shared" si="28"/>
        <v>90</v>
      </c>
      <c r="M85" s="29">
        <f t="shared" si="29"/>
        <v>810</v>
      </c>
      <c r="N85" s="75">
        <f t="shared" si="30"/>
        <v>900</v>
      </c>
      <c r="O85" s="1"/>
      <c r="P85" s="1"/>
      <c r="Q85" s="7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</row>
    <row r="86" spans="2:32" ht="15.75" x14ac:dyDescent="0.25">
      <c r="B86" s="74">
        <f>IF(I86&lt;&gt;"",1+MAX(A$1:$B85),"")</f>
        <v>36</v>
      </c>
      <c r="C86" s="9" t="s">
        <v>200</v>
      </c>
      <c r="D86" s="9"/>
      <c r="E86" s="10" t="s">
        <v>86</v>
      </c>
      <c r="F86" s="13">
        <v>1</v>
      </c>
      <c r="G86" s="26">
        <v>0</v>
      </c>
      <c r="H86" s="27">
        <f t="shared" si="27"/>
        <v>1</v>
      </c>
      <c r="I86" s="14" t="s">
        <v>29</v>
      </c>
      <c r="J86" s="15">
        <v>90</v>
      </c>
      <c r="K86" s="15">
        <v>810</v>
      </c>
      <c r="L86" s="16">
        <f t="shared" si="28"/>
        <v>90</v>
      </c>
      <c r="M86" s="29">
        <f t="shared" si="29"/>
        <v>810</v>
      </c>
      <c r="N86" s="75">
        <f t="shared" si="30"/>
        <v>900</v>
      </c>
      <c r="O86" s="1"/>
      <c r="P86" s="1"/>
      <c r="Q86" s="7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</row>
    <row r="87" spans="2:32" ht="15.75" x14ac:dyDescent="0.25">
      <c r="B87" s="74">
        <f>IF(I87&lt;&gt;"",1+MAX(A$1:$B86),"")</f>
        <v>37</v>
      </c>
      <c r="C87" s="9" t="s">
        <v>200</v>
      </c>
      <c r="D87" s="9"/>
      <c r="E87" s="10" t="s">
        <v>87</v>
      </c>
      <c r="F87" s="13">
        <v>1</v>
      </c>
      <c r="G87" s="26">
        <v>0</v>
      </c>
      <c r="H87" s="27">
        <f t="shared" si="27"/>
        <v>1</v>
      </c>
      <c r="I87" s="14" t="s">
        <v>29</v>
      </c>
      <c r="J87" s="15">
        <v>90</v>
      </c>
      <c r="K87" s="15">
        <v>810</v>
      </c>
      <c r="L87" s="16">
        <f t="shared" si="28"/>
        <v>90</v>
      </c>
      <c r="M87" s="29">
        <f t="shared" si="29"/>
        <v>810</v>
      </c>
      <c r="N87" s="75">
        <f t="shared" si="30"/>
        <v>900</v>
      </c>
      <c r="O87" s="1"/>
      <c r="P87" s="1"/>
      <c r="Q87" s="7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</row>
    <row r="88" spans="2:32" ht="15.75" x14ac:dyDescent="0.25">
      <c r="B88" s="74">
        <f>IF(I88&lt;&gt;"",1+MAX(A$1:$B87),"")</f>
        <v>38</v>
      </c>
      <c r="C88" s="9" t="s">
        <v>200</v>
      </c>
      <c r="D88" s="9"/>
      <c r="E88" s="10" t="s">
        <v>85</v>
      </c>
      <c r="F88" s="13">
        <v>1</v>
      </c>
      <c r="G88" s="26">
        <v>0</v>
      </c>
      <c r="H88" s="27">
        <f t="shared" si="27"/>
        <v>1</v>
      </c>
      <c r="I88" s="14" t="s">
        <v>29</v>
      </c>
      <c r="J88" s="15">
        <v>92.5</v>
      </c>
      <c r="K88" s="15">
        <v>832.5</v>
      </c>
      <c r="L88" s="16">
        <f t="shared" si="28"/>
        <v>92.5</v>
      </c>
      <c r="M88" s="29">
        <f t="shared" si="29"/>
        <v>832.5</v>
      </c>
      <c r="N88" s="75">
        <f t="shared" si="30"/>
        <v>925</v>
      </c>
      <c r="O88" s="1"/>
      <c r="P88" s="1"/>
      <c r="Q88" s="7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</row>
    <row r="89" spans="2:32" ht="15.75" x14ac:dyDescent="0.25">
      <c r="B89" s="74">
        <f>IF(I89&lt;&gt;"",1+MAX(A$1:$B88),"")</f>
        <v>39</v>
      </c>
      <c r="C89" s="9" t="s">
        <v>200</v>
      </c>
      <c r="D89" s="9"/>
      <c r="E89" s="10" t="s">
        <v>83</v>
      </c>
      <c r="F89" s="13">
        <v>1</v>
      </c>
      <c r="G89" s="26">
        <v>0</v>
      </c>
      <c r="H89" s="27">
        <f t="shared" si="27"/>
        <v>1</v>
      </c>
      <c r="I89" s="14" t="s">
        <v>29</v>
      </c>
      <c r="J89" s="15">
        <v>105</v>
      </c>
      <c r="K89" s="15">
        <v>945</v>
      </c>
      <c r="L89" s="16">
        <f t="shared" si="28"/>
        <v>105</v>
      </c>
      <c r="M89" s="29">
        <f t="shared" si="29"/>
        <v>945</v>
      </c>
      <c r="N89" s="75">
        <f t="shared" si="30"/>
        <v>1050</v>
      </c>
      <c r="O89" s="1"/>
      <c r="P89" s="1"/>
      <c r="Q89" s="7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</row>
    <row r="90" spans="2:32" ht="15.75" x14ac:dyDescent="0.25">
      <c r="B90" s="74" t="str">
        <f>IF(I90&lt;&gt;"",1+MAX(A$1:$B89),"")</f>
        <v/>
      </c>
      <c r="C90" s="9"/>
      <c r="D90" s="9"/>
      <c r="E90" s="10"/>
      <c r="F90" s="13"/>
      <c r="G90" s="26"/>
      <c r="H90" s="27"/>
      <c r="I90" s="14"/>
      <c r="J90" s="15" t="s">
        <v>28</v>
      </c>
      <c r="K90" s="15" t="s">
        <v>28</v>
      </c>
      <c r="L90" s="16"/>
      <c r="M90" s="29"/>
      <c r="N90" s="75"/>
      <c r="O90" s="1"/>
      <c r="P90" s="1"/>
      <c r="Q90" s="7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</row>
    <row r="91" spans="2:32" ht="15.75" x14ac:dyDescent="0.25">
      <c r="B91" s="74" t="str">
        <f>IF(I91&lt;&gt;"",1+MAX(A$1:$B90),"")</f>
        <v/>
      </c>
      <c r="C91" s="23"/>
      <c r="D91" s="25"/>
      <c r="E91" s="96" t="s">
        <v>67</v>
      </c>
      <c r="F91" s="13"/>
      <c r="G91" s="26"/>
      <c r="H91" s="27"/>
      <c r="I91" s="24"/>
      <c r="J91" s="15" t="s">
        <v>28</v>
      </c>
      <c r="K91" s="15" t="s">
        <v>28</v>
      </c>
      <c r="L91" s="15"/>
      <c r="M91" s="15"/>
      <c r="N91" s="79"/>
      <c r="O91" s="22"/>
      <c r="P91" s="22"/>
      <c r="Q91" s="7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</row>
    <row r="92" spans="2:32" ht="15.75" x14ac:dyDescent="0.25">
      <c r="B92" s="74">
        <f>IF(I92&lt;&gt;"",1+MAX(A$1:$B91),"")</f>
        <v>40</v>
      </c>
      <c r="C92" s="9" t="s">
        <v>200</v>
      </c>
      <c r="D92" s="9"/>
      <c r="E92" s="10" t="s">
        <v>68</v>
      </c>
      <c r="F92" s="13">
        <v>8</v>
      </c>
      <c r="G92" s="26">
        <v>0</v>
      </c>
      <c r="H92" s="27">
        <f t="shared" ref="H92" si="31">(1+G92)*F92</f>
        <v>8</v>
      </c>
      <c r="I92" s="14" t="s">
        <v>29</v>
      </c>
      <c r="J92" s="15">
        <v>66</v>
      </c>
      <c r="K92" s="15">
        <v>99</v>
      </c>
      <c r="L92" s="16">
        <f>J92*H92</f>
        <v>528</v>
      </c>
      <c r="M92" s="29">
        <f>K92*H92</f>
        <v>792</v>
      </c>
      <c r="N92" s="75">
        <f t="shared" ref="N92" si="32">M92+L92</f>
        <v>1320</v>
      </c>
      <c r="O92" s="1"/>
      <c r="P92" s="1"/>
      <c r="Q92" s="7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</row>
    <row r="93" spans="2:32" ht="15.75" x14ac:dyDescent="0.25">
      <c r="B93" s="74" t="str">
        <f>IF(I93&lt;&gt;"",1+MAX(A$1:$B92),"")</f>
        <v/>
      </c>
      <c r="C93" s="9"/>
      <c r="D93" s="9"/>
      <c r="E93" s="10"/>
      <c r="F93" s="13"/>
      <c r="G93" s="26"/>
      <c r="H93" s="27"/>
      <c r="I93" s="14"/>
      <c r="J93" s="15" t="s">
        <v>28</v>
      </c>
      <c r="K93" s="15" t="s">
        <v>28</v>
      </c>
      <c r="L93" s="16"/>
      <c r="M93" s="29"/>
      <c r="N93" s="75"/>
      <c r="O93" s="1"/>
      <c r="P93" s="1"/>
      <c r="Q93" s="7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</row>
    <row r="94" spans="2:32" ht="15.75" x14ac:dyDescent="0.25">
      <c r="B94" s="74" t="str">
        <f>IF(I94&lt;&gt;"",1+MAX(A$1:$B93),"")</f>
        <v/>
      </c>
      <c r="C94" s="23"/>
      <c r="D94" s="25"/>
      <c r="E94" s="96" t="s">
        <v>84</v>
      </c>
      <c r="F94" s="13"/>
      <c r="G94" s="26"/>
      <c r="H94" s="27"/>
      <c r="I94" s="24"/>
      <c r="J94" s="15" t="s">
        <v>28</v>
      </c>
      <c r="K94" s="15" t="s">
        <v>28</v>
      </c>
      <c r="L94" s="15"/>
      <c r="M94" s="15"/>
      <c r="N94" s="79"/>
      <c r="O94" s="22"/>
      <c r="P94" s="22"/>
      <c r="Q94" s="7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</row>
    <row r="95" spans="2:32" ht="15.75" x14ac:dyDescent="0.25">
      <c r="B95" s="74">
        <f>IF(I95&lt;&gt;"",1+MAX(A$1:$B94),"")</f>
        <v>41</v>
      </c>
      <c r="C95" s="9" t="s">
        <v>200</v>
      </c>
      <c r="D95" s="9"/>
      <c r="E95" s="10" t="s">
        <v>222</v>
      </c>
      <c r="F95" s="13">
        <v>3</v>
      </c>
      <c r="G95" s="26">
        <v>0</v>
      </c>
      <c r="H95" s="27">
        <f t="shared" ref="H95" si="33">(1+G95)*F95</f>
        <v>3</v>
      </c>
      <c r="I95" s="14" t="s">
        <v>29</v>
      </c>
      <c r="J95" s="15">
        <v>128.63025000000002</v>
      </c>
      <c r="K95" s="15">
        <v>1157.6722500000001</v>
      </c>
      <c r="L95" s="16">
        <f>J95*H95</f>
        <v>385.89075000000003</v>
      </c>
      <c r="M95" s="29">
        <f>K95*H95</f>
        <v>3473.0167500000002</v>
      </c>
      <c r="N95" s="75">
        <f t="shared" ref="N95" si="34">M95+L95</f>
        <v>3858.9075000000003</v>
      </c>
      <c r="O95" s="1"/>
      <c r="P95" s="1"/>
      <c r="Q95" s="7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</row>
    <row r="96" spans="2:32" ht="15.75" x14ac:dyDescent="0.25">
      <c r="B96" s="74" t="str">
        <f>IF(I96&lt;&gt;"",1+MAX(A$1:$B95),"")</f>
        <v/>
      </c>
      <c r="C96" s="9"/>
      <c r="D96" s="9"/>
      <c r="E96" s="10"/>
      <c r="F96" s="13"/>
      <c r="G96" s="26"/>
      <c r="H96" s="27"/>
      <c r="I96" s="14"/>
      <c r="J96" s="15" t="s">
        <v>28</v>
      </c>
      <c r="K96" s="15" t="s">
        <v>28</v>
      </c>
      <c r="L96" s="16"/>
      <c r="M96" s="29"/>
      <c r="N96" s="75"/>
      <c r="O96" s="1"/>
      <c r="P96" s="1"/>
      <c r="Q96" s="7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</row>
    <row r="97" spans="1:32" ht="15.75" x14ac:dyDescent="0.25">
      <c r="A97" s="28"/>
      <c r="B97" s="74" t="str">
        <f>IF(I97&lt;&gt;"",1+MAX(A$1:$B96),"")</f>
        <v/>
      </c>
      <c r="C97" s="8"/>
      <c r="D97" s="14"/>
      <c r="E97" s="18" t="s">
        <v>2</v>
      </c>
      <c r="F97" s="17"/>
      <c r="G97" s="17"/>
      <c r="H97" s="13"/>
      <c r="I97" s="17"/>
      <c r="J97" s="20" t="s">
        <v>28</v>
      </c>
      <c r="K97" s="20" t="s">
        <v>28</v>
      </c>
      <c r="L97" s="76">
        <f>SUM(L81:L95)</f>
        <v>1636.39075</v>
      </c>
      <c r="M97" s="76">
        <f>SUM(M81:M95)</f>
        <v>10767.516750000001</v>
      </c>
      <c r="N97" s="76">
        <f>SUM(N81:N95)</f>
        <v>12403.907500000001</v>
      </c>
      <c r="O97" s="30"/>
      <c r="P97" s="30"/>
      <c r="Q97" s="7"/>
      <c r="R97" s="30"/>
      <c r="S97" s="30"/>
      <c r="T97" s="30"/>
      <c r="U97" s="30"/>
      <c r="V97" s="30"/>
      <c r="W97" s="30"/>
      <c r="X97" s="30"/>
      <c r="Y97" s="30"/>
      <c r="Z97" s="30"/>
      <c r="AA97" s="30"/>
      <c r="AB97" s="30"/>
      <c r="AC97" s="30"/>
      <c r="AD97" s="30"/>
      <c r="AE97" s="30"/>
      <c r="AF97" s="30"/>
    </row>
    <row r="98" spans="1:32" ht="15.75" x14ac:dyDescent="0.25">
      <c r="B98" s="77" t="str">
        <f>IF(I98&lt;&gt;"",1+MAX(A$1:$B97),"")</f>
        <v/>
      </c>
      <c r="C98" s="31"/>
      <c r="D98" s="70">
        <v>9</v>
      </c>
      <c r="E98" s="71" t="s">
        <v>43</v>
      </c>
      <c r="F98" s="21"/>
      <c r="G98" s="21"/>
      <c r="H98" s="21"/>
      <c r="I98" s="21"/>
      <c r="J98" s="21" t="s">
        <v>28</v>
      </c>
      <c r="K98" s="21" t="s">
        <v>28</v>
      </c>
      <c r="L98" s="21"/>
      <c r="M98" s="21"/>
      <c r="N98" s="78"/>
      <c r="O98" s="22"/>
      <c r="P98" s="1"/>
      <c r="Q98" s="7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</row>
    <row r="99" spans="1:32" ht="15.75" x14ac:dyDescent="0.25">
      <c r="B99" s="74" t="str">
        <f>IF(I99&lt;&gt;"",1+MAX(A$1:$B98),"")</f>
        <v/>
      </c>
      <c r="C99" s="23"/>
      <c r="D99" s="9"/>
      <c r="E99" s="10"/>
      <c r="F99" s="11"/>
      <c r="G99" s="12"/>
      <c r="H99" s="13"/>
      <c r="I99" s="14"/>
      <c r="J99" s="15" t="s">
        <v>28</v>
      </c>
      <c r="K99" s="15" t="s">
        <v>28</v>
      </c>
      <c r="L99" s="16"/>
      <c r="M99" s="16"/>
      <c r="N99" s="75"/>
      <c r="O99" s="94"/>
      <c r="P99" s="1"/>
      <c r="Q99" s="7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</row>
    <row r="100" spans="1:32" ht="15.75" x14ac:dyDescent="0.25">
      <c r="B100" s="74" t="str">
        <f>IF(I100&lt;&gt;"",1+MAX(A$1:$B99),"")</f>
        <v/>
      </c>
      <c r="C100" s="23"/>
      <c r="D100" s="25"/>
      <c r="E100" s="96" t="s">
        <v>55</v>
      </c>
      <c r="F100" s="13"/>
      <c r="G100" s="26"/>
      <c r="H100" s="27"/>
      <c r="I100" s="24"/>
      <c r="J100" s="15" t="s">
        <v>28</v>
      </c>
      <c r="K100" s="15" t="s">
        <v>28</v>
      </c>
      <c r="L100" s="15"/>
      <c r="M100" s="15"/>
      <c r="N100" s="79"/>
      <c r="O100" s="22"/>
      <c r="P100" s="22"/>
      <c r="Q100" s="7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</row>
    <row r="101" spans="1:32" ht="15.75" x14ac:dyDescent="0.25">
      <c r="B101" s="74" t="str">
        <f>IF(I101&lt;&gt;"",1+MAX(A$1:$B100),"")</f>
        <v/>
      </c>
      <c r="C101" s="9"/>
      <c r="D101" s="9"/>
      <c r="E101" s="97" t="s">
        <v>92</v>
      </c>
      <c r="F101" s="98">
        <v>30.74</v>
      </c>
      <c r="G101" s="26"/>
      <c r="H101" s="27"/>
      <c r="I101" s="14"/>
      <c r="J101" s="15" t="s">
        <v>28</v>
      </c>
      <c r="K101" s="15" t="s">
        <v>28</v>
      </c>
      <c r="L101" s="16"/>
      <c r="M101" s="29"/>
      <c r="N101" s="75"/>
      <c r="O101" s="1"/>
      <c r="P101" s="1"/>
      <c r="Q101" s="7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</row>
    <row r="102" spans="1:32" ht="15.75" x14ac:dyDescent="0.25">
      <c r="B102" s="74">
        <f>IF(I102&lt;&gt;"",1+MAX(A$1:$B101),"")</f>
        <v>42</v>
      </c>
      <c r="C102" s="9" t="s">
        <v>200</v>
      </c>
      <c r="D102" s="9"/>
      <c r="E102" s="10" t="s">
        <v>60</v>
      </c>
      <c r="F102" s="13">
        <f>(F101*14.83)*2</f>
        <v>911.74839999999995</v>
      </c>
      <c r="G102" s="26">
        <v>0.1</v>
      </c>
      <c r="H102" s="27">
        <f t="shared" ref="H102" si="35">(1+G102)*F102</f>
        <v>1002.9232400000001</v>
      </c>
      <c r="I102" s="14" t="s">
        <v>30</v>
      </c>
      <c r="J102" s="15">
        <v>0.72000000000000008</v>
      </c>
      <c r="K102" s="15">
        <v>1.08</v>
      </c>
      <c r="L102" s="16">
        <f>J102*H102</f>
        <v>722.10473280000019</v>
      </c>
      <c r="M102" s="29">
        <f>K102*H102</f>
        <v>1083.1570992000002</v>
      </c>
      <c r="N102" s="75">
        <f t="shared" ref="N102" si="36">M102+L102</f>
        <v>1805.2618320000004</v>
      </c>
      <c r="O102" s="1"/>
      <c r="P102" s="1"/>
      <c r="Q102" s="7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</row>
    <row r="103" spans="1:32" ht="15.75" x14ac:dyDescent="0.25">
      <c r="B103" s="74">
        <f>IF(I103&lt;&gt;"",1+MAX(A$1:$B102),"")</f>
        <v>43</v>
      </c>
      <c r="C103" s="9" t="s">
        <v>200</v>
      </c>
      <c r="D103" s="9"/>
      <c r="E103" s="10" t="s">
        <v>178</v>
      </c>
      <c r="F103" s="13">
        <f>F101*10.83</f>
        <v>332.91419999999999</v>
      </c>
      <c r="G103" s="26">
        <v>0.1</v>
      </c>
      <c r="H103" s="27">
        <f t="shared" ref="H103" si="37">(1+G103)*F103</f>
        <v>366.20562000000001</v>
      </c>
      <c r="I103" s="14" t="s">
        <v>30</v>
      </c>
      <c r="J103" s="15">
        <v>1.2800000000000002</v>
      </c>
      <c r="K103" s="15">
        <v>1.92</v>
      </c>
      <c r="L103" s="16">
        <f>J103*H103</f>
        <v>468.7431936000001</v>
      </c>
      <c r="M103" s="29">
        <f>K103*H103</f>
        <v>703.11479039999995</v>
      </c>
      <c r="N103" s="75">
        <f t="shared" ref="N103" si="38">M103+L103</f>
        <v>1171.857984</v>
      </c>
      <c r="O103" s="1"/>
      <c r="P103" s="1"/>
      <c r="Q103" s="7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</row>
    <row r="104" spans="1:32" ht="15.75" x14ac:dyDescent="0.25">
      <c r="B104" s="74">
        <f>IF(I104&lt;&gt;"",1+MAX(A$1:$B103),"")</f>
        <v>44</v>
      </c>
      <c r="C104" s="9" t="s">
        <v>200</v>
      </c>
      <c r="D104" s="9"/>
      <c r="E104" s="10" t="s">
        <v>64</v>
      </c>
      <c r="F104" s="13">
        <f>(F101/1.33)*10.83</f>
        <v>250.31142857142854</v>
      </c>
      <c r="G104" s="26">
        <v>0.1</v>
      </c>
      <c r="H104" s="27">
        <f t="shared" ref="H104" si="39">(1+G104)*F104</f>
        <v>275.34257142857143</v>
      </c>
      <c r="I104" s="14" t="s">
        <v>38</v>
      </c>
      <c r="J104" s="15">
        <v>2.6</v>
      </c>
      <c r="K104" s="15">
        <v>3.9</v>
      </c>
      <c r="L104" s="16">
        <f>J104*H104</f>
        <v>715.89068571428572</v>
      </c>
      <c r="M104" s="29">
        <f>K104*H104</f>
        <v>1073.8360285714286</v>
      </c>
      <c r="N104" s="75">
        <f t="shared" ref="N104" si="40">M104+L104</f>
        <v>1789.7267142857145</v>
      </c>
      <c r="O104" s="1"/>
      <c r="P104" s="1"/>
      <c r="Q104" s="7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</row>
    <row r="105" spans="1:32" ht="15.75" x14ac:dyDescent="0.25">
      <c r="B105" s="74">
        <f>IF(I105&lt;&gt;"",1+MAX(A$1:$B104),"")</f>
        <v>45</v>
      </c>
      <c r="C105" s="9" t="s">
        <v>200</v>
      </c>
      <c r="D105" s="9"/>
      <c r="E105" s="10" t="s">
        <v>65</v>
      </c>
      <c r="F105" s="13">
        <f>F101*2</f>
        <v>61.48</v>
      </c>
      <c r="G105" s="26">
        <v>0.1</v>
      </c>
      <c r="H105" s="27">
        <f t="shared" ref="H105" si="41">(1+G105)*F105</f>
        <v>67.628</v>
      </c>
      <c r="I105" s="14" t="s">
        <v>38</v>
      </c>
      <c r="J105" s="15">
        <v>1.8</v>
      </c>
      <c r="K105" s="15">
        <v>2.7</v>
      </c>
      <c r="L105" s="16">
        <f>J105*H105</f>
        <v>121.7304</v>
      </c>
      <c r="M105" s="29">
        <f>K105*H105</f>
        <v>182.59560000000002</v>
      </c>
      <c r="N105" s="75">
        <f t="shared" ref="N105" si="42">M105+L105</f>
        <v>304.32600000000002</v>
      </c>
      <c r="O105" s="1"/>
      <c r="P105" s="1"/>
      <c r="Q105" s="7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</row>
    <row r="106" spans="1:32" ht="15.75" x14ac:dyDescent="0.25">
      <c r="B106" s="74">
        <f>IF(I106&lt;&gt;"",1+MAX(A$1:$B105),"")</f>
        <v>46</v>
      </c>
      <c r="C106" s="9" t="s">
        <v>200</v>
      </c>
      <c r="D106" s="9"/>
      <c r="E106" s="10" t="s">
        <v>61</v>
      </c>
      <c r="F106" s="13">
        <f>F101*4</f>
        <v>122.96</v>
      </c>
      <c r="G106" s="26">
        <v>0.1</v>
      </c>
      <c r="H106" s="27">
        <f t="shared" ref="H106" si="43">(1+G106)*F106</f>
        <v>135.256</v>
      </c>
      <c r="I106" s="14" t="s">
        <v>38</v>
      </c>
      <c r="J106" s="15">
        <v>0.4</v>
      </c>
      <c r="K106" s="15">
        <v>0.6</v>
      </c>
      <c r="L106" s="16">
        <f>J106*H106</f>
        <v>54.102400000000003</v>
      </c>
      <c r="M106" s="29">
        <f>K106*H106</f>
        <v>81.153599999999997</v>
      </c>
      <c r="N106" s="75">
        <f t="shared" ref="N106" si="44">M106+L106</f>
        <v>135.256</v>
      </c>
      <c r="O106" s="1"/>
      <c r="P106" s="1"/>
      <c r="Q106" s="7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</row>
    <row r="107" spans="1:32" ht="15.75" x14ac:dyDescent="0.25">
      <c r="B107" s="74" t="str">
        <f>IF(I107&lt;&gt;"",1+MAX(A$1:$B106),"")</f>
        <v/>
      </c>
      <c r="C107" s="9"/>
      <c r="D107" s="9"/>
      <c r="E107" s="10"/>
      <c r="F107" s="13"/>
      <c r="G107" s="26"/>
      <c r="H107" s="27"/>
      <c r="I107" s="14"/>
      <c r="J107" s="15" t="s">
        <v>28</v>
      </c>
      <c r="K107" s="15" t="s">
        <v>28</v>
      </c>
      <c r="L107" s="16"/>
      <c r="M107" s="29"/>
      <c r="N107" s="75"/>
      <c r="O107" s="1"/>
      <c r="P107" s="1"/>
      <c r="Q107" s="7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</row>
    <row r="108" spans="1:32" ht="15.75" x14ac:dyDescent="0.25">
      <c r="B108" s="74" t="str">
        <f>IF(I108&lt;&gt;"",1+MAX(A$1:$B107),"")</f>
        <v/>
      </c>
      <c r="C108" s="9"/>
      <c r="D108" s="9"/>
      <c r="E108" s="97" t="s">
        <v>93</v>
      </c>
      <c r="F108" s="98">
        <v>18.05</v>
      </c>
      <c r="G108" s="26"/>
      <c r="H108" s="27"/>
      <c r="I108" s="14"/>
      <c r="J108" s="15" t="s">
        <v>28</v>
      </c>
      <c r="K108" s="15" t="s">
        <v>28</v>
      </c>
      <c r="L108" s="16"/>
      <c r="M108" s="29"/>
      <c r="N108" s="75"/>
      <c r="O108" s="1"/>
      <c r="P108" s="1"/>
      <c r="Q108" s="7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</row>
    <row r="109" spans="1:32" ht="15.75" x14ac:dyDescent="0.25">
      <c r="B109" s="74">
        <f>IF(I109&lt;&gt;"",1+MAX(A$1:$B108),"")</f>
        <v>47</v>
      </c>
      <c r="C109" s="9" t="s">
        <v>200</v>
      </c>
      <c r="D109" s="9"/>
      <c r="E109" s="10" t="s">
        <v>63</v>
      </c>
      <c r="F109" s="13">
        <f>(F108*14.83)</f>
        <v>267.68150000000003</v>
      </c>
      <c r="G109" s="26">
        <v>0.1</v>
      </c>
      <c r="H109" s="27">
        <f t="shared" ref="H109:H114" si="45">(1+G109)*F109</f>
        <v>294.44965000000008</v>
      </c>
      <c r="I109" s="14" t="s">
        <v>30</v>
      </c>
      <c r="J109" s="15">
        <v>0.72000000000000008</v>
      </c>
      <c r="K109" s="15">
        <v>1.08</v>
      </c>
      <c r="L109" s="16">
        <f t="shared" ref="L109:L114" si="46">J109*H109</f>
        <v>212.00374800000009</v>
      </c>
      <c r="M109" s="29">
        <f t="shared" ref="M109:M114" si="47">K109*H109</f>
        <v>318.00562200000013</v>
      </c>
      <c r="N109" s="75">
        <f t="shared" ref="N109:N114" si="48">M109+L109</f>
        <v>530.00937000000022</v>
      </c>
      <c r="O109" s="1"/>
      <c r="P109" s="1"/>
      <c r="Q109" s="7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</row>
    <row r="110" spans="1:32" ht="15.75" x14ac:dyDescent="0.25">
      <c r="B110" s="74">
        <f>IF(I110&lt;&gt;"",1+MAX(A$1:$B109),"")</f>
        <v>48</v>
      </c>
      <c r="C110" s="9" t="s">
        <v>200</v>
      </c>
      <c r="D110" s="9"/>
      <c r="E110" s="10" t="s">
        <v>62</v>
      </c>
      <c r="F110" s="13">
        <f>F108*14.83</f>
        <v>267.68150000000003</v>
      </c>
      <c r="G110" s="26">
        <v>0.1</v>
      </c>
      <c r="H110" s="27">
        <f t="shared" ref="H110" si="49">(1+G110)*F110</f>
        <v>294.44965000000008</v>
      </c>
      <c r="I110" s="14" t="s">
        <v>30</v>
      </c>
      <c r="J110" s="15">
        <v>0.76</v>
      </c>
      <c r="K110" s="15">
        <v>1.1399999999999999</v>
      </c>
      <c r="L110" s="16">
        <f t="shared" si="46"/>
        <v>223.78173400000006</v>
      </c>
      <c r="M110" s="29">
        <f t="shared" si="47"/>
        <v>335.67260100000004</v>
      </c>
      <c r="N110" s="75">
        <f t="shared" ref="N110" si="50">M110+L110</f>
        <v>559.45433500000013</v>
      </c>
      <c r="O110" s="1"/>
      <c r="P110" s="1"/>
      <c r="Q110" s="7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</row>
    <row r="111" spans="1:32" ht="15.75" x14ac:dyDescent="0.25">
      <c r="B111" s="74">
        <f>IF(I111&lt;&gt;"",1+MAX(A$1:$B110),"")</f>
        <v>49</v>
      </c>
      <c r="C111" s="9" t="s">
        <v>200</v>
      </c>
      <c r="D111" s="9"/>
      <c r="E111" s="10" t="s">
        <v>178</v>
      </c>
      <c r="F111" s="13">
        <f>F108*14.83</f>
        <v>267.68150000000003</v>
      </c>
      <c r="G111" s="26">
        <v>0.1</v>
      </c>
      <c r="H111" s="27">
        <f t="shared" si="45"/>
        <v>294.44965000000008</v>
      </c>
      <c r="I111" s="14" t="s">
        <v>30</v>
      </c>
      <c r="J111" s="15">
        <v>1.2800000000000002</v>
      </c>
      <c r="K111" s="15">
        <v>1.92</v>
      </c>
      <c r="L111" s="16">
        <f t="shared" si="46"/>
        <v>376.89555200000018</v>
      </c>
      <c r="M111" s="29">
        <f t="shared" si="47"/>
        <v>565.34332800000016</v>
      </c>
      <c r="N111" s="75">
        <f t="shared" si="48"/>
        <v>942.23888000000034</v>
      </c>
      <c r="O111" s="1"/>
      <c r="P111" s="1"/>
      <c r="Q111" s="7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</row>
    <row r="112" spans="1:32" ht="15.75" x14ac:dyDescent="0.25">
      <c r="B112" s="74">
        <f>IF(I112&lt;&gt;"",1+MAX(A$1:$B111),"")</f>
        <v>50</v>
      </c>
      <c r="C112" s="9" t="s">
        <v>200</v>
      </c>
      <c r="D112" s="9"/>
      <c r="E112" s="10" t="s">
        <v>64</v>
      </c>
      <c r="F112" s="13">
        <f>(F108/1.33)*14.83</f>
        <v>201.26428571428571</v>
      </c>
      <c r="G112" s="26">
        <v>0.1</v>
      </c>
      <c r="H112" s="27">
        <f t="shared" si="45"/>
        <v>221.3907142857143</v>
      </c>
      <c r="I112" s="14" t="s">
        <v>38</v>
      </c>
      <c r="J112" s="15">
        <v>2.6</v>
      </c>
      <c r="K112" s="15">
        <v>3.9</v>
      </c>
      <c r="L112" s="16">
        <f t="shared" si="46"/>
        <v>575.61585714285718</v>
      </c>
      <c r="M112" s="29">
        <f t="shared" si="47"/>
        <v>863.42378571428571</v>
      </c>
      <c r="N112" s="75">
        <f t="shared" si="48"/>
        <v>1439.039642857143</v>
      </c>
      <c r="O112" s="1"/>
      <c r="P112" s="1"/>
      <c r="Q112" s="7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</row>
    <row r="113" spans="2:32" ht="15.75" x14ac:dyDescent="0.25">
      <c r="B113" s="74">
        <f>IF(I113&lt;&gt;"",1+MAX(A$1:$B112),"")</f>
        <v>51</v>
      </c>
      <c r="C113" s="9" t="s">
        <v>200</v>
      </c>
      <c r="D113" s="9"/>
      <c r="E113" s="10" t="s">
        <v>65</v>
      </c>
      <c r="F113" s="13">
        <f>F108*2</f>
        <v>36.1</v>
      </c>
      <c r="G113" s="26">
        <v>0.1</v>
      </c>
      <c r="H113" s="27">
        <f t="shared" si="45"/>
        <v>39.710000000000008</v>
      </c>
      <c r="I113" s="14" t="s">
        <v>38</v>
      </c>
      <c r="J113" s="15">
        <v>1.8</v>
      </c>
      <c r="K113" s="15">
        <v>2.7</v>
      </c>
      <c r="L113" s="16">
        <f t="shared" si="46"/>
        <v>71.478000000000023</v>
      </c>
      <c r="M113" s="29">
        <f t="shared" si="47"/>
        <v>107.21700000000003</v>
      </c>
      <c r="N113" s="75">
        <f t="shared" si="48"/>
        <v>178.69500000000005</v>
      </c>
      <c r="O113" s="1"/>
      <c r="P113" s="1"/>
      <c r="Q113" s="7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</row>
    <row r="114" spans="2:32" ht="15.75" x14ac:dyDescent="0.25">
      <c r="B114" s="74">
        <f>IF(I114&lt;&gt;"",1+MAX(A$1:$B113),"")</f>
        <v>52</v>
      </c>
      <c r="C114" s="9" t="s">
        <v>200</v>
      </c>
      <c r="D114" s="9"/>
      <c r="E114" s="10" t="s">
        <v>61</v>
      </c>
      <c r="F114" s="13">
        <f>F108*4</f>
        <v>72.2</v>
      </c>
      <c r="G114" s="26">
        <v>0.1</v>
      </c>
      <c r="H114" s="27">
        <f t="shared" si="45"/>
        <v>79.420000000000016</v>
      </c>
      <c r="I114" s="14" t="s">
        <v>38</v>
      </c>
      <c r="J114" s="15">
        <v>0.4</v>
      </c>
      <c r="K114" s="15">
        <v>0.6</v>
      </c>
      <c r="L114" s="16">
        <f t="shared" si="46"/>
        <v>31.768000000000008</v>
      </c>
      <c r="M114" s="29">
        <f t="shared" si="47"/>
        <v>47.652000000000008</v>
      </c>
      <c r="N114" s="75">
        <f t="shared" si="48"/>
        <v>79.420000000000016</v>
      </c>
      <c r="O114" s="1"/>
      <c r="P114" s="1"/>
      <c r="Q114" s="7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</row>
    <row r="115" spans="2:32" ht="15.75" x14ac:dyDescent="0.25">
      <c r="B115" s="74" t="str">
        <f>IF(I115&lt;&gt;"",1+MAX(A$1:$B114),"")</f>
        <v/>
      </c>
      <c r="C115" s="9"/>
      <c r="D115" s="9"/>
      <c r="E115" s="10"/>
      <c r="F115" s="13"/>
      <c r="G115" s="26"/>
      <c r="H115" s="27"/>
      <c r="I115" s="14"/>
      <c r="J115" s="15" t="s">
        <v>28</v>
      </c>
      <c r="K115" s="15" t="s">
        <v>28</v>
      </c>
      <c r="L115" s="16"/>
      <c r="M115" s="29"/>
      <c r="N115" s="75"/>
      <c r="O115" s="1"/>
      <c r="P115" s="1"/>
      <c r="Q115" s="7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</row>
    <row r="116" spans="2:32" ht="15.75" x14ac:dyDescent="0.25">
      <c r="B116" s="74" t="str">
        <f>IF(I116&lt;&gt;"",1+MAX(A$1:$B115),"")</f>
        <v/>
      </c>
      <c r="C116" s="9"/>
      <c r="D116" s="9"/>
      <c r="E116" s="97" t="s">
        <v>94</v>
      </c>
      <c r="F116" s="98">
        <v>54.09</v>
      </c>
      <c r="G116" s="26"/>
      <c r="H116" s="27"/>
      <c r="I116" s="14"/>
      <c r="J116" s="15" t="s">
        <v>28</v>
      </c>
      <c r="K116" s="15" t="s">
        <v>28</v>
      </c>
      <c r="L116" s="16"/>
      <c r="M116" s="29"/>
      <c r="N116" s="75"/>
      <c r="O116" s="1"/>
      <c r="P116" s="1"/>
      <c r="Q116" s="7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</row>
    <row r="117" spans="2:32" ht="15.75" x14ac:dyDescent="0.25">
      <c r="B117" s="74">
        <f>IF(I117&lt;&gt;"",1+MAX(A$1:$B116),"")</f>
        <v>53</v>
      </c>
      <c r="C117" s="9" t="s">
        <v>200</v>
      </c>
      <c r="D117" s="9"/>
      <c r="E117" s="10" t="s">
        <v>60</v>
      </c>
      <c r="F117" s="13">
        <f>(F116*13.5)*2</f>
        <v>1460.43</v>
      </c>
      <c r="G117" s="26">
        <v>0.1</v>
      </c>
      <c r="H117" s="27">
        <f t="shared" ref="H117:H121" si="51">(1+G117)*F117</f>
        <v>1606.4730000000002</v>
      </c>
      <c r="I117" s="14" t="s">
        <v>30</v>
      </c>
      <c r="J117" s="15">
        <v>0.72000000000000008</v>
      </c>
      <c r="K117" s="15">
        <v>1.08</v>
      </c>
      <c r="L117" s="16">
        <f>J117*H117</f>
        <v>1156.6605600000003</v>
      </c>
      <c r="M117" s="29">
        <f>K117*H117</f>
        <v>1734.9908400000004</v>
      </c>
      <c r="N117" s="75">
        <f t="shared" ref="N117:N121" si="52">M117+L117</f>
        <v>2891.6514000000006</v>
      </c>
      <c r="O117" s="1"/>
      <c r="P117" s="1"/>
      <c r="Q117" s="7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</row>
    <row r="118" spans="2:32" ht="15.75" x14ac:dyDescent="0.25">
      <c r="B118" s="74">
        <f>IF(I118&lt;&gt;"",1+MAX(A$1:$B117),"")</f>
        <v>54</v>
      </c>
      <c r="C118" s="9" t="s">
        <v>200</v>
      </c>
      <c r="D118" s="9"/>
      <c r="E118" s="10" t="s">
        <v>178</v>
      </c>
      <c r="F118" s="13">
        <f>F116*13.5</f>
        <v>730.21500000000003</v>
      </c>
      <c r="G118" s="26">
        <v>0.1</v>
      </c>
      <c r="H118" s="27">
        <f t="shared" si="51"/>
        <v>803.23650000000009</v>
      </c>
      <c r="I118" s="14" t="s">
        <v>30</v>
      </c>
      <c r="J118" s="15">
        <v>1.2800000000000002</v>
      </c>
      <c r="K118" s="15">
        <v>1.92</v>
      </c>
      <c r="L118" s="16">
        <f>J118*H118</f>
        <v>1028.1427200000003</v>
      </c>
      <c r="M118" s="29">
        <f>K118*H118</f>
        <v>1542.2140800000002</v>
      </c>
      <c r="N118" s="75">
        <f t="shared" si="52"/>
        <v>2570.3568000000005</v>
      </c>
      <c r="O118" s="1"/>
      <c r="P118" s="1"/>
      <c r="Q118" s="7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</row>
    <row r="119" spans="2:32" ht="15.75" x14ac:dyDescent="0.25">
      <c r="B119" s="74">
        <f>IF(I119&lt;&gt;"",1+MAX(A$1:$B118),"")</f>
        <v>55</v>
      </c>
      <c r="C119" s="9" t="s">
        <v>200</v>
      </c>
      <c r="D119" s="9"/>
      <c r="E119" s="10" t="s">
        <v>179</v>
      </c>
      <c r="F119" s="13">
        <f>(F116/1.33)*13.5</f>
        <v>549.03383458646624</v>
      </c>
      <c r="G119" s="26">
        <v>0.1</v>
      </c>
      <c r="H119" s="27">
        <f t="shared" si="51"/>
        <v>603.9372180451129</v>
      </c>
      <c r="I119" s="14" t="s">
        <v>38</v>
      </c>
      <c r="J119" s="15">
        <v>2.6</v>
      </c>
      <c r="K119" s="15">
        <v>3.9</v>
      </c>
      <c r="L119" s="16">
        <f>J119*H119</f>
        <v>1570.2367669172936</v>
      </c>
      <c r="M119" s="29">
        <f>K119*H119</f>
        <v>2355.3551503759404</v>
      </c>
      <c r="N119" s="75">
        <f t="shared" si="52"/>
        <v>3925.591917293234</v>
      </c>
      <c r="O119" s="1"/>
      <c r="P119" s="1"/>
      <c r="Q119" s="7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</row>
    <row r="120" spans="2:32" ht="15.75" x14ac:dyDescent="0.25">
      <c r="B120" s="74">
        <f>IF(I120&lt;&gt;"",1+MAX(A$1:$B119),"")</f>
        <v>56</v>
      </c>
      <c r="C120" s="9" t="s">
        <v>200</v>
      </c>
      <c r="D120" s="9"/>
      <c r="E120" s="10" t="s">
        <v>180</v>
      </c>
      <c r="F120" s="13">
        <f>F116*2</f>
        <v>108.18</v>
      </c>
      <c r="G120" s="26">
        <v>0.1</v>
      </c>
      <c r="H120" s="27">
        <f t="shared" si="51"/>
        <v>118.99800000000002</v>
      </c>
      <c r="I120" s="14" t="s">
        <v>38</v>
      </c>
      <c r="J120" s="15">
        <v>1.8</v>
      </c>
      <c r="K120" s="15">
        <v>2.7</v>
      </c>
      <c r="L120" s="16">
        <f>J120*H120</f>
        <v>214.19640000000004</v>
      </c>
      <c r="M120" s="29">
        <f>K120*H120</f>
        <v>321.29460000000006</v>
      </c>
      <c r="N120" s="75">
        <f t="shared" si="52"/>
        <v>535.4910000000001</v>
      </c>
      <c r="O120" s="1"/>
      <c r="P120" s="1"/>
      <c r="Q120" s="7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</row>
    <row r="121" spans="2:32" ht="15.75" x14ac:dyDescent="0.25">
      <c r="B121" s="74">
        <f>IF(I121&lt;&gt;"",1+MAX(A$1:$B120),"")</f>
        <v>57</v>
      </c>
      <c r="C121" s="9" t="s">
        <v>200</v>
      </c>
      <c r="D121" s="9"/>
      <c r="E121" s="10" t="s">
        <v>61</v>
      </c>
      <c r="F121" s="13">
        <f>F116*4</f>
        <v>216.36</v>
      </c>
      <c r="G121" s="26">
        <v>0.1</v>
      </c>
      <c r="H121" s="27">
        <f t="shared" si="51"/>
        <v>237.99600000000004</v>
      </c>
      <c r="I121" s="14" t="s">
        <v>38</v>
      </c>
      <c r="J121" s="15">
        <v>0.4</v>
      </c>
      <c r="K121" s="15">
        <v>0.6</v>
      </c>
      <c r="L121" s="16">
        <f>J121*H121</f>
        <v>95.198400000000021</v>
      </c>
      <c r="M121" s="29">
        <f>K121*H121</f>
        <v>142.79760000000002</v>
      </c>
      <c r="N121" s="75">
        <f t="shared" si="52"/>
        <v>237.99600000000004</v>
      </c>
      <c r="O121" s="1"/>
      <c r="P121" s="1"/>
      <c r="Q121" s="7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</row>
    <row r="122" spans="2:32" ht="15.75" x14ac:dyDescent="0.25">
      <c r="B122" s="74" t="str">
        <f>IF(I122&lt;&gt;"",1+MAX(A$1:$B121),"")</f>
        <v/>
      </c>
      <c r="C122" s="9"/>
      <c r="D122" s="9"/>
      <c r="E122" s="10"/>
      <c r="F122" s="13"/>
      <c r="G122" s="26"/>
      <c r="H122" s="27"/>
      <c r="I122" s="14"/>
      <c r="J122" s="15" t="s">
        <v>28</v>
      </c>
      <c r="K122" s="15" t="s">
        <v>28</v>
      </c>
      <c r="L122" s="16"/>
      <c r="M122" s="29"/>
      <c r="N122" s="75"/>
      <c r="O122" s="1"/>
      <c r="P122" s="1"/>
      <c r="Q122" s="7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</row>
    <row r="123" spans="2:32" ht="15.75" x14ac:dyDescent="0.25">
      <c r="B123" s="74" t="str">
        <f>IF(I123&lt;&gt;"",1+MAX(A$1:$B122),"")</f>
        <v/>
      </c>
      <c r="C123" s="9"/>
      <c r="D123" s="9"/>
      <c r="E123" s="97" t="s">
        <v>95</v>
      </c>
      <c r="F123" s="98">
        <v>24.15</v>
      </c>
      <c r="G123" s="26"/>
      <c r="H123" s="27"/>
      <c r="I123" s="14"/>
      <c r="J123" s="15" t="s">
        <v>28</v>
      </c>
      <c r="K123" s="15" t="s">
        <v>28</v>
      </c>
      <c r="L123" s="16"/>
      <c r="M123" s="29"/>
      <c r="N123" s="75"/>
      <c r="O123" s="1"/>
      <c r="P123" s="1"/>
      <c r="Q123" s="7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</row>
    <row r="124" spans="2:32" ht="15.75" x14ac:dyDescent="0.25">
      <c r="B124" s="74">
        <f>IF(I124&lt;&gt;"",1+MAX(A$1:$B123),"")</f>
        <v>58</v>
      </c>
      <c r="C124" s="9" t="s">
        <v>200</v>
      </c>
      <c r="D124" s="9"/>
      <c r="E124" s="10" t="s">
        <v>181</v>
      </c>
      <c r="F124" s="13">
        <f>(F123*3.5)*2</f>
        <v>169.04999999999998</v>
      </c>
      <c r="G124" s="26">
        <v>0.1</v>
      </c>
      <c r="H124" s="27">
        <f t="shared" ref="H124:H128" si="53">(1+G124)*F124</f>
        <v>185.95499999999998</v>
      </c>
      <c r="I124" s="14" t="s">
        <v>30</v>
      </c>
      <c r="J124" s="15">
        <v>1.1000000000000001</v>
      </c>
      <c r="K124" s="15">
        <v>1.65</v>
      </c>
      <c r="L124" s="16">
        <f>J124*H124</f>
        <v>204.5505</v>
      </c>
      <c r="M124" s="29">
        <f>K124*H124</f>
        <v>306.82574999999997</v>
      </c>
      <c r="N124" s="75">
        <f t="shared" ref="N124:N128" si="54">M124+L124</f>
        <v>511.37624999999997</v>
      </c>
      <c r="O124" s="1"/>
      <c r="P124" s="1"/>
      <c r="Q124" s="7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</row>
    <row r="125" spans="2:32" ht="15.75" x14ac:dyDescent="0.25">
      <c r="B125" s="74">
        <f>IF(I125&lt;&gt;"",1+MAX(A$1:$B124),"")</f>
        <v>59</v>
      </c>
      <c r="C125" s="9" t="s">
        <v>200</v>
      </c>
      <c r="D125" s="9"/>
      <c r="E125" s="10" t="s">
        <v>178</v>
      </c>
      <c r="F125" s="13">
        <f>F123*3.5</f>
        <v>84.524999999999991</v>
      </c>
      <c r="G125" s="26">
        <v>0.1</v>
      </c>
      <c r="H125" s="27">
        <f t="shared" si="53"/>
        <v>92.977499999999992</v>
      </c>
      <c r="I125" s="14" t="s">
        <v>30</v>
      </c>
      <c r="J125" s="15">
        <v>1.2800000000000002</v>
      </c>
      <c r="K125" s="15">
        <v>1.92</v>
      </c>
      <c r="L125" s="16">
        <f>J125*H125</f>
        <v>119.01120000000002</v>
      </c>
      <c r="M125" s="29">
        <f>K125*H125</f>
        <v>178.51679999999999</v>
      </c>
      <c r="N125" s="75">
        <f t="shared" si="54"/>
        <v>297.52800000000002</v>
      </c>
      <c r="O125" s="1"/>
      <c r="P125" s="1"/>
      <c r="Q125" s="7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</row>
    <row r="126" spans="2:32" ht="15.75" x14ac:dyDescent="0.25">
      <c r="B126" s="74">
        <f>IF(I126&lt;&gt;"",1+MAX(A$1:$B125),"")</f>
        <v>60</v>
      </c>
      <c r="C126" s="9" t="s">
        <v>200</v>
      </c>
      <c r="D126" s="9"/>
      <c r="E126" s="10" t="s">
        <v>179</v>
      </c>
      <c r="F126" s="13">
        <f>(F123/1.33)*3.5</f>
        <v>63.552631578947356</v>
      </c>
      <c r="G126" s="26">
        <v>0.1</v>
      </c>
      <c r="H126" s="27">
        <f t="shared" si="53"/>
        <v>69.907894736842096</v>
      </c>
      <c r="I126" s="14" t="s">
        <v>38</v>
      </c>
      <c r="J126" s="15">
        <v>2.6</v>
      </c>
      <c r="K126" s="15">
        <v>3.9</v>
      </c>
      <c r="L126" s="16">
        <f>J126*H126</f>
        <v>181.76052631578946</v>
      </c>
      <c r="M126" s="29">
        <f>K126*H126</f>
        <v>272.64078947368415</v>
      </c>
      <c r="N126" s="75">
        <f t="shared" si="54"/>
        <v>454.40131578947364</v>
      </c>
      <c r="O126" s="1"/>
      <c r="P126" s="1"/>
      <c r="Q126" s="7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</row>
    <row r="127" spans="2:32" ht="15.75" x14ac:dyDescent="0.25">
      <c r="B127" s="74">
        <f>IF(I127&lt;&gt;"",1+MAX(A$1:$B126),"")</f>
        <v>61</v>
      </c>
      <c r="C127" s="9" t="s">
        <v>200</v>
      </c>
      <c r="D127" s="9"/>
      <c r="E127" s="10" t="s">
        <v>180</v>
      </c>
      <c r="F127" s="13">
        <f>F123*2</f>
        <v>48.3</v>
      </c>
      <c r="G127" s="26">
        <v>0.1</v>
      </c>
      <c r="H127" s="27">
        <f t="shared" si="53"/>
        <v>53.13</v>
      </c>
      <c r="I127" s="14" t="s">
        <v>38</v>
      </c>
      <c r="J127" s="15">
        <v>1.8</v>
      </c>
      <c r="K127" s="15">
        <v>2.7</v>
      </c>
      <c r="L127" s="16">
        <f>J127*H127</f>
        <v>95.634</v>
      </c>
      <c r="M127" s="29">
        <f>K127*H127</f>
        <v>143.45100000000002</v>
      </c>
      <c r="N127" s="75">
        <f t="shared" si="54"/>
        <v>239.08500000000004</v>
      </c>
      <c r="O127" s="1"/>
      <c r="P127" s="1"/>
      <c r="Q127" s="7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</row>
    <row r="128" spans="2:32" ht="15.75" x14ac:dyDescent="0.25">
      <c r="B128" s="74">
        <f>IF(I128&lt;&gt;"",1+MAX(A$1:$B127),"")</f>
        <v>62</v>
      </c>
      <c r="C128" s="9" t="s">
        <v>200</v>
      </c>
      <c r="D128" s="9"/>
      <c r="E128" s="10" t="s">
        <v>61</v>
      </c>
      <c r="F128" s="13">
        <f>F123*4</f>
        <v>96.6</v>
      </c>
      <c r="G128" s="26">
        <v>0.1</v>
      </c>
      <c r="H128" s="27">
        <f t="shared" si="53"/>
        <v>106.26</v>
      </c>
      <c r="I128" s="14" t="s">
        <v>38</v>
      </c>
      <c r="J128" s="15">
        <v>0.4</v>
      </c>
      <c r="K128" s="15">
        <v>0.6</v>
      </c>
      <c r="L128" s="16">
        <f>J128*H128</f>
        <v>42.504000000000005</v>
      </c>
      <c r="M128" s="29">
        <f>K128*H128</f>
        <v>63.756</v>
      </c>
      <c r="N128" s="75">
        <f t="shared" si="54"/>
        <v>106.26</v>
      </c>
      <c r="O128" s="1"/>
      <c r="P128" s="1"/>
      <c r="Q128" s="7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</row>
    <row r="129" spans="2:32" ht="15.75" x14ac:dyDescent="0.25">
      <c r="B129" s="74" t="str">
        <f>IF(I129&lt;&gt;"",1+MAX(A$1:$B128),"")</f>
        <v/>
      </c>
      <c r="C129" s="9"/>
      <c r="D129" s="9"/>
      <c r="E129" s="10"/>
      <c r="F129" s="13"/>
      <c r="G129" s="26"/>
      <c r="H129" s="27"/>
      <c r="I129" s="14"/>
      <c r="J129" s="15" t="s">
        <v>28</v>
      </c>
      <c r="K129" s="15" t="s">
        <v>28</v>
      </c>
      <c r="L129" s="16"/>
      <c r="M129" s="29"/>
      <c r="N129" s="75"/>
      <c r="O129" s="1"/>
      <c r="P129" s="1"/>
      <c r="Q129" s="7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</row>
    <row r="130" spans="2:32" ht="15.75" x14ac:dyDescent="0.25">
      <c r="B130" s="74" t="str">
        <f>IF(I130&lt;&gt;"",1+MAX(A$1:$B129),"")</f>
        <v/>
      </c>
      <c r="C130" s="9"/>
      <c r="D130" s="9"/>
      <c r="E130" s="97" t="s">
        <v>96</v>
      </c>
      <c r="F130" s="98">
        <v>31.7</v>
      </c>
      <c r="G130" s="26"/>
      <c r="H130" s="27"/>
      <c r="I130" s="14"/>
      <c r="J130" s="15" t="s">
        <v>28</v>
      </c>
      <c r="K130" s="15" t="s">
        <v>28</v>
      </c>
      <c r="L130" s="16"/>
      <c r="M130" s="29"/>
      <c r="N130" s="75"/>
      <c r="O130" s="1"/>
      <c r="P130" s="1"/>
      <c r="Q130" s="7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</row>
    <row r="131" spans="2:32" ht="15.75" x14ac:dyDescent="0.25">
      <c r="B131" s="74">
        <f>IF(I131&lt;&gt;"",1+MAX(A$1:$B130),"")</f>
        <v>63</v>
      </c>
      <c r="C131" s="9" t="s">
        <v>200</v>
      </c>
      <c r="D131" s="9"/>
      <c r="E131" s="10" t="s">
        <v>60</v>
      </c>
      <c r="F131" s="13">
        <f>(F130*8)*2</f>
        <v>507.2</v>
      </c>
      <c r="G131" s="26">
        <v>0.1</v>
      </c>
      <c r="H131" s="27">
        <f t="shared" ref="H131:H135" si="55">(1+G131)*F131</f>
        <v>557.92000000000007</v>
      </c>
      <c r="I131" s="14" t="s">
        <v>30</v>
      </c>
      <c r="J131" s="15">
        <v>0.72000000000000008</v>
      </c>
      <c r="K131" s="15">
        <v>1.08</v>
      </c>
      <c r="L131" s="16">
        <f>J131*H131</f>
        <v>401.70240000000013</v>
      </c>
      <c r="M131" s="29">
        <f>K131*H131</f>
        <v>602.55360000000007</v>
      </c>
      <c r="N131" s="75">
        <f t="shared" ref="N131:N135" si="56">M131+L131</f>
        <v>1004.2560000000002</v>
      </c>
      <c r="O131" s="1"/>
      <c r="P131" s="1"/>
      <c r="Q131" s="7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</row>
    <row r="132" spans="2:32" ht="15.75" x14ac:dyDescent="0.25">
      <c r="B132" s="74">
        <f>IF(I132&lt;&gt;"",1+MAX(A$1:$B131),"")</f>
        <v>64</v>
      </c>
      <c r="C132" s="9" t="s">
        <v>200</v>
      </c>
      <c r="D132" s="9"/>
      <c r="E132" s="10" t="s">
        <v>178</v>
      </c>
      <c r="F132" s="13">
        <f>F130*8</f>
        <v>253.6</v>
      </c>
      <c r="G132" s="26">
        <v>0.1</v>
      </c>
      <c r="H132" s="27">
        <f t="shared" si="55"/>
        <v>278.96000000000004</v>
      </c>
      <c r="I132" s="14" t="s">
        <v>30</v>
      </c>
      <c r="J132" s="15">
        <v>1.2800000000000002</v>
      </c>
      <c r="K132" s="15">
        <v>1.92</v>
      </c>
      <c r="L132" s="16">
        <f>J132*H132</f>
        <v>357.06880000000012</v>
      </c>
      <c r="M132" s="29">
        <f>K132*H132</f>
        <v>535.60320000000002</v>
      </c>
      <c r="N132" s="75">
        <f t="shared" si="56"/>
        <v>892.67200000000014</v>
      </c>
      <c r="O132" s="1"/>
      <c r="P132" s="1"/>
      <c r="Q132" s="7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</row>
    <row r="133" spans="2:32" ht="15.75" x14ac:dyDescent="0.25">
      <c r="B133" s="74">
        <f>IF(I133&lt;&gt;"",1+MAX(A$1:$B132),"")</f>
        <v>65</v>
      </c>
      <c r="C133" s="9" t="s">
        <v>200</v>
      </c>
      <c r="D133" s="9"/>
      <c r="E133" s="10" t="s">
        <v>179</v>
      </c>
      <c r="F133" s="13">
        <f>(F130/1.33)*8</f>
        <v>190.6766917293233</v>
      </c>
      <c r="G133" s="26">
        <v>0.1</v>
      </c>
      <c r="H133" s="27">
        <f t="shared" si="55"/>
        <v>209.74436090225564</v>
      </c>
      <c r="I133" s="14" t="s">
        <v>38</v>
      </c>
      <c r="J133" s="15">
        <v>2.6</v>
      </c>
      <c r="K133" s="15">
        <v>3.9</v>
      </c>
      <c r="L133" s="16">
        <f>J133*H133</f>
        <v>545.33533834586467</v>
      </c>
      <c r="M133" s="29">
        <f>K133*H133</f>
        <v>818.00300751879695</v>
      </c>
      <c r="N133" s="75">
        <f t="shared" si="56"/>
        <v>1363.3383458646617</v>
      </c>
      <c r="O133" s="1"/>
      <c r="P133" s="1"/>
      <c r="Q133" s="7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</row>
    <row r="134" spans="2:32" ht="15.75" x14ac:dyDescent="0.25">
      <c r="B134" s="74">
        <f>IF(I134&lt;&gt;"",1+MAX(A$1:$B133),"")</f>
        <v>66</v>
      </c>
      <c r="C134" s="9" t="s">
        <v>200</v>
      </c>
      <c r="D134" s="9"/>
      <c r="E134" s="10" t="s">
        <v>180</v>
      </c>
      <c r="F134" s="13">
        <f>F130*2</f>
        <v>63.4</v>
      </c>
      <c r="G134" s="26">
        <v>0.1</v>
      </c>
      <c r="H134" s="27">
        <f t="shared" si="55"/>
        <v>69.740000000000009</v>
      </c>
      <c r="I134" s="14" t="s">
        <v>38</v>
      </c>
      <c r="J134" s="15">
        <v>1.8</v>
      </c>
      <c r="K134" s="15">
        <v>2.7</v>
      </c>
      <c r="L134" s="16">
        <f>J134*H134</f>
        <v>125.53200000000002</v>
      </c>
      <c r="M134" s="29">
        <f>K134*H134</f>
        <v>188.29800000000003</v>
      </c>
      <c r="N134" s="75">
        <f t="shared" si="56"/>
        <v>313.83000000000004</v>
      </c>
      <c r="O134" s="1"/>
      <c r="P134" s="1"/>
      <c r="Q134" s="7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</row>
    <row r="135" spans="2:32" ht="15.75" x14ac:dyDescent="0.25">
      <c r="B135" s="74">
        <f>IF(I135&lt;&gt;"",1+MAX(A$1:$B134),"")</f>
        <v>67</v>
      </c>
      <c r="C135" s="9" t="s">
        <v>200</v>
      </c>
      <c r="D135" s="9"/>
      <c r="E135" s="10" t="s">
        <v>61</v>
      </c>
      <c r="F135" s="13">
        <f>F130*4</f>
        <v>126.8</v>
      </c>
      <c r="G135" s="26">
        <v>0.1</v>
      </c>
      <c r="H135" s="27">
        <f t="shared" si="55"/>
        <v>139.48000000000002</v>
      </c>
      <c r="I135" s="14" t="s">
        <v>38</v>
      </c>
      <c r="J135" s="15">
        <v>0.4</v>
      </c>
      <c r="K135" s="15">
        <v>0.6</v>
      </c>
      <c r="L135" s="16">
        <f>J135*H135</f>
        <v>55.792000000000009</v>
      </c>
      <c r="M135" s="29">
        <f>K135*H135</f>
        <v>83.688000000000002</v>
      </c>
      <c r="N135" s="75">
        <f t="shared" si="56"/>
        <v>139.48000000000002</v>
      </c>
      <c r="O135" s="1"/>
      <c r="P135" s="1"/>
      <c r="Q135" s="7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</row>
    <row r="136" spans="2:32" ht="15.75" x14ac:dyDescent="0.25">
      <c r="B136" s="74" t="str">
        <f>IF(I136&lt;&gt;"",1+MAX(A$1:$B135),"")</f>
        <v/>
      </c>
      <c r="C136" s="9"/>
      <c r="D136" s="9"/>
      <c r="E136" s="10"/>
      <c r="F136" s="13"/>
      <c r="G136" s="26"/>
      <c r="H136" s="27"/>
      <c r="I136" s="14"/>
      <c r="J136" s="15" t="s">
        <v>28</v>
      </c>
      <c r="K136" s="15" t="s">
        <v>28</v>
      </c>
      <c r="L136" s="16"/>
      <c r="M136" s="29"/>
      <c r="N136" s="75"/>
      <c r="O136" s="1"/>
      <c r="P136" s="1"/>
      <c r="Q136" s="7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</row>
    <row r="137" spans="2:32" ht="15.75" x14ac:dyDescent="0.25">
      <c r="B137" s="74" t="str">
        <f>IF(I137&lt;&gt;"",1+MAX(A$1:$B136),"")</f>
        <v/>
      </c>
      <c r="C137" s="9"/>
      <c r="D137" s="9"/>
      <c r="E137" s="97" t="s">
        <v>97</v>
      </c>
      <c r="F137" s="98">
        <v>32.82</v>
      </c>
      <c r="G137" s="26"/>
      <c r="H137" s="27"/>
      <c r="I137" s="14"/>
      <c r="J137" s="15" t="s">
        <v>28</v>
      </c>
      <c r="K137" s="15" t="s">
        <v>28</v>
      </c>
      <c r="L137" s="16"/>
      <c r="M137" s="29"/>
      <c r="N137" s="75"/>
      <c r="O137" s="1"/>
      <c r="P137" s="1"/>
      <c r="Q137" s="7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</row>
    <row r="138" spans="2:32" ht="15.75" x14ac:dyDescent="0.25">
      <c r="B138" s="74">
        <f>IF(I138&lt;&gt;"",1+MAX(A$1:$B137),"")</f>
        <v>68</v>
      </c>
      <c r="C138" s="9" t="s">
        <v>200</v>
      </c>
      <c r="D138" s="9"/>
      <c r="E138" s="10" t="s">
        <v>63</v>
      </c>
      <c r="F138" s="13">
        <f>(F137*8)</f>
        <v>262.56</v>
      </c>
      <c r="G138" s="26">
        <v>0.1</v>
      </c>
      <c r="H138" s="27">
        <f t="shared" ref="H138:H143" si="57">(1+G138)*F138</f>
        <v>288.81600000000003</v>
      </c>
      <c r="I138" s="14" t="s">
        <v>30</v>
      </c>
      <c r="J138" s="15">
        <v>0.72000000000000008</v>
      </c>
      <c r="K138" s="15">
        <v>1.08</v>
      </c>
      <c r="L138" s="16">
        <f t="shared" ref="L138:L143" si="58">J138*H138</f>
        <v>207.94752000000005</v>
      </c>
      <c r="M138" s="29">
        <f t="shared" ref="M138:M143" si="59">K138*H138</f>
        <v>311.92128000000008</v>
      </c>
      <c r="N138" s="75">
        <f t="shared" ref="N138:N143" si="60">M138+L138</f>
        <v>519.86880000000019</v>
      </c>
      <c r="O138" s="1"/>
      <c r="P138" s="1"/>
      <c r="Q138" s="7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</row>
    <row r="139" spans="2:32" ht="15.75" x14ac:dyDescent="0.25">
      <c r="B139" s="74">
        <f>IF(I139&lt;&gt;"",1+MAX(A$1:$B138),"")</f>
        <v>69</v>
      </c>
      <c r="C139" s="9" t="s">
        <v>200</v>
      </c>
      <c r="D139" s="9"/>
      <c r="E139" s="10" t="s">
        <v>62</v>
      </c>
      <c r="F139" s="13">
        <f>F137*8</f>
        <v>262.56</v>
      </c>
      <c r="G139" s="26">
        <v>0.1</v>
      </c>
      <c r="H139" s="27">
        <f t="shared" si="57"/>
        <v>288.81600000000003</v>
      </c>
      <c r="I139" s="14" t="s">
        <v>30</v>
      </c>
      <c r="J139" s="15">
        <v>0.76</v>
      </c>
      <c r="K139" s="15">
        <v>1.1399999999999999</v>
      </c>
      <c r="L139" s="16">
        <f t="shared" si="58"/>
        <v>219.50016000000002</v>
      </c>
      <c r="M139" s="29">
        <f t="shared" si="59"/>
        <v>329.25024000000002</v>
      </c>
      <c r="N139" s="75">
        <f t="shared" si="60"/>
        <v>548.75040000000001</v>
      </c>
      <c r="O139" s="1"/>
      <c r="P139" s="1"/>
      <c r="Q139" s="7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</row>
    <row r="140" spans="2:32" ht="15.75" x14ac:dyDescent="0.25">
      <c r="B140" s="74">
        <f>IF(I140&lt;&gt;"",1+MAX(A$1:$B139),"")</f>
        <v>70</v>
      </c>
      <c r="C140" s="9" t="s">
        <v>200</v>
      </c>
      <c r="D140" s="9"/>
      <c r="E140" s="10" t="s">
        <v>178</v>
      </c>
      <c r="F140" s="13">
        <f>F137*8</f>
        <v>262.56</v>
      </c>
      <c r="G140" s="26">
        <v>0.1</v>
      </c>
      <c r="H140" s="27">
        <f t="shared" si="57"/>
        <v>288.81600000000003</v>
      </c>
      <c r="I140" s="14" t="s">
        <v>30</v>
      </c>
      <c r="J140" s="15">
        <v>1.2800000000000002</v>
      </c>
      <c r="K140" s="15">
        <v>1.92</v>
      </c>
      <c r="L140" s="16">
        <f t="shared" si="58"/>
        <v>369.68448000000012</v>
      </c>
      <c r="M140" s="29">
        <f t="shared" si="59"/>
        <v>554.52672000000007</v>
      </c>
      <c r="N140" s="75">
        <f t="shared" si="60"/>
        <v>924.21120000000019</v>
      </c>
      <c r="O140" s="1"/>
      <c r="P140" s="1"/>
      <c r="Q140" s="7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</row>
    <row r="141" spans="2:32" ht="15.75" x14ac:dyDescent="0.25">
      <c r="B141" s="74">
        <f>IF(I141&lt;&gt;"",1+MAX(A$1:$B140),"")</f>
        <v>71</v>
      </c>
      <c r="C141" s="9" t="s">
        <v>200</v>
      </c>
      <c r="D141" s="9"/>
      <c r="E141" s="10" t="s">
        <v>179</v>
      </c>
      <c r="F141" s="13">
        <f>(F137/1.33)*8</f>
        <v>197.41353383458645</v>
      </c>
      <c r="G141" s="26">
        <v>0.1</v>
      </c>
      <c r="H141" s="27">
        <f t="shared" si="57"/>
        <v>217.1548872180451</v>
      </c>
      <c r="I141" s="14" t="s">
        <v>38</v>
      </c>
      <c r="J141" s="15">
        <v>2.6</v>
      </c>
      <c r="K141" s="15">
        <v>3.9</v>
      </c>
      <c r="L141" s="16">
        <f t="shared" si="58"/>
        <v>564.60270676691732</v>
      </c>
      <c r="M141" s="29">
        <f t="shared" si="59"/>
        <v>846.90406015037593</v>
      </c>
      <c r="N141" s="75">
        <f t="shared" si="60"/>
        <v>1411.5067669172931</v>
      </c>
      <c r="O141" s="1"/>
      <c r="P141" s="1"/>
      <c r="Q141" s="7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</row>
    <row r="142" spans="2:32" ht="15.75" x14ac:dyDescent="0.25">
      <c r="B142" s="74">
        <f>IF(I142&lt;&gt;"",1+MAX(A$1:$B141),"")</f>
        <v>72</v>
      </c>
      <c r="C142" s="9" t="s">
        <v>200</v>
      </c>
      <c r="D142" s="9"/>
      <c r="E142" s="10" t="s">
        <v>180</v>
      </c>
      <c r="F142" s="13">
        <f>F137*2</f>
        <v>65.64</v>
      </c>
      <c r="G142" s="26">
        <v>0.1</v>
      </c>
      <c r="H142" s="27">
        <f t="shared" si="57"/>
        <v>72.204000000000008</v>
      </c>
      <c r="I142" s="14" t="s">
        <v>38</v>
      </c>
      <c r="J142" s="15">
        <v>1.8</v>
      </c>
      <c r="K142" s="15">
        <v>2.7</v>
      </c>
      <c r="L142" s="16">
        <f t="shared" si="58"/>
        <v>129.96720000000002</v>
      </c>
      <c r="M142" s="29">
        <f t="shared" si="59"/>
        <v>194.95080000000004</v>
      </c>
      <c r="N142" s="75">
        <f t="shared" si="60"/>
        <v>324.91800000000006</v>
      </c>
      <c r="O142" s="1"/>
      <c r="P142" s="1"/>
      <c r="Q142" s="7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</row>
    <row r="143" spans="2:32" ht="15.75" x14ac:dyDescent="0.25">
      <c r="B143" s="74">
        <f>IF(I143&lt;&gt;"",1+MAX(A$1:$B142),"")</f>
        <v>73</v>
      </c>
      <c r="C143" s="9" t="s">
        <v>200</v>
      </c>
      <c r="D143" s="9"/>
      <c r="E143" s="10" t="s">
        <v>61</v>
      </c>
      <c r="F143" s="13">
        <f>F137*4</f>
        <v>131.28</v>
      </c>
      <c r="G143" s="26">
        <v>0.1</v>
      </c>
      <c r="H143" s="27">
        <f t="shared" si="57"/>
        <v>144.40800000000002</v>
      </c>
      <c r="I143" s="14" t="s">
        <v>38</v>
      </c>
      <c r="J143" s="15">
        <v>0.4</v>
      </c>
      <c r="K143" s="15">
        <v>0.6</v>
      </c>
      <c r="L143" s="16">
        <f t="shared" si="58"/>
        <v>57.763200000000012</v>
      </c>
      <c r="M143" s="29">
        <f t="shared" si="59"/>
        <v>86.644800000000004</v>
      </c>
      <c r="N143" s="75">
        <f t="shared" si="60"/>
        <v>144.40800000000002</v>
      </c>
      <c r="O143" s="1"/>
      <c r="P143" s="1"/>
      <c r="Q143" s="7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</row>
    <row r="144" spans="2:32" ht="15.75" x14ac:dyDescent="0.25">
      <c r="B144" s="74" t="str">
        <f>IF(I144&lt;&gt;"",1+MAX(A$1:$B143),"")</f>
        <v/>
      </c>
      <c r="C144" s="9"/>
      <c r="D144" s="9"/>
      <c r="E144" s="10"/>
      <c r="F144" s="13"/>
      <c r="G144" s="26"/>
      <c r="H144" s="27"/>
      <c r="I144" s="14"/>
      <c r="J144" s="15" t="s">
        <v>28</v>
      </c>
      <c r="K144" s="15" t="s">
        <v>28</v>
      </c>
      <c r="L144" s="16"/>
      <c r="M144" s="29"/>
      <c r="N144" s="75"/>
      <c r="O144" s="1"/>
      <c r="P144" s="1"/>
      <c r="Q144" s="7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</row>
    <row r="145" spans="2:32" ht="15.75" x14ac:dyDescent="0.25">
      <c r="B145" s="74" t="str">
        <f>IF(I145&lt;&gt;"",1+MAX(A$1:$B144),"")</f>
        <v/>
      </c>
      <c r="C145" s="9"/>
      <c r="D145" s="9"/>
      <c r="E145" s="97" t="s">
        <v>98</v>
      </c>
      <c r="F145" s="98">
        <v>17.38</v>
      </c>
      <c r="G145" s="26"/>
      <c r="H145" s="27"/>
      <c r="I145" s="14"/>
      <c r="J145" s="15" t="s">
        <v>28</v>
      </c>
      <c r="K145" s="15" t="s">
        <v>28</v>
      </c>
      <c r="L145" s="16"/>
      <c r="M145" s="29"/>
      <c r="N145" s="75"/>
      <c r="O145" s="1"/>
      <c r="P145" s="1"/>
      <c r="Q145" s="7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</row>
    <row r="146" spans="2:32" ht="15.75" x14ac:dyDescent="0.25">
      <c r="B146" s="74">
        <f>IF(I146&lt;&gt;"",1+MAX(A$1:$B145),"")</f>
        <v>74</v>
      </c>
      <c r="C146" s="9" t="s">
        <v>200</v>
      </c>
      <c r="D146" s="9"/>
      <c r="E146" s="10" t="s">
        <v>182</v>
      </c>
      <c r="F146" s="13">
        <f>(F145*8)*2</f>
        <v>278.08</v>
      </c>
      <c r="G146" s="26">
        <v>0.1</v>
      </c>
      <c r="H146" s="27">
        <f t="shared" ref="H146:H150" si="61">(1+G146)*F146</f>
        <v>305.88800000000003</v>
      </c>
      <c r="I146" s="14" t="s">
        <v>30</v>
      </c>
      <c r="J146" s="15">
        <v>0.72000000000000008</v>
      </c>
      <c r="K146" s="15">
        <v>1.08</v>
      </c>
      <c r="L146" s="16">
        <f>J146*H146</f>
        <v>220.23936000000006</v>
      </c>
      <c r="M146" s="29">
        <f>K146*H146</f>
        <v>330.35904000000005</v>
      </c>
      <c r="N146" s="75">
        <f t="shared" ref="N146:N150" si="62">M146+L146</f>
        <v>550.59840000000008</v>
      </c>
      <c r="O146" s="1"/>
      <c r="P146" s="1"/>
      <c r="Q146" s="7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</row>
    <row r="147" spans="2:32" ht="15.75" x14ac:dyDescent="0.25">
      <c r="B147" s="74">
        <f>IF(I147&lt;&gt;"",1+MAX(A$1:$B146),"")</f>
        <v>75</v>
      </c>
      <c r="C147" s="9" t="s">
        <v>200</v>
      </c>
      <c r="D147" s="9"/>
      <c r="E147" s="10" t="s">
        <v>178</v>
      </c>
      <c r="F147" s="13">
        <f>F145*8</f>
        <v>139.04</v>
      </c>
      <c r="G147" s="26">
        <v>0.1</v>
      </c>
      <c r="H147" s="27">
        <f t="shared" si="61"/>
        <v>152.94400000000002</v>
      </c>
      <c r="I147" s="14" t="s">
        <v>30</v>
      </c>
      <c r="J147" s="15">
        <v>1.2800000000000002</v>
      </c>
      <c r="K147" s="15">
        <v>1.92</v>
      </c>
      <c r="L147" s="16">
        <f>J147*H147</f>
        <v>195.76832000000005</v>
      </c>
      <c r="M147" s="29">
        <f>K147*H147</f>
        <v>293.65248000000003</v>
      </c>
      <c r="N147" s="75">
        <f t="shared" si="62"/>
        <v>489.4208000000001</v>
      </c>
      <c r="O147" s="1"/>
      <c r="P147" s="1"/>
      <c r="Q147" s="7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</row>
    <row r="148" spans="2:32" ht="15.75" x14ac:dyDescent="0.25">
      <c r="B148" s="74">
        <f>IF(I148&lt;&gt;"",1+MAX(A$1:$B147),"")</f>
        <v>76</v>
      </c>
      <c r="C148" s="9" t="s">
        <v>200</v>
      </c>
      <c r="D148" s="9"/>
      <c r="E148" s="10" t="s">
        <v>179</v>
      </c>
      <c r="F148" s="13">
        <f>(F145/1.33)*8</f>
        <v>104.54135338345864</v>
      </c>
      <c r="G148" s="26">
        <v>0.1</v>
      </c>
      <c r="H148" s="27">
        <f t="shared" si="61"/>
        <v>114.99548872180452</v>
      </c>
      <c r="I148" s="14" t="s">
        <v>38</v>
      </c>
      <c r="J148" s="15">
        <v>2.6</v>
      </c>
      <c r="K148" s="15">
        <v>3.9</v>
      </c>
      <c r="L148" s="16">
        <f>J148*H148</f>
        <v>298.98827067669174</v>
      </c>
      <c r="M148" s="29">
        <f>K148*H148</f>
        <v>448.48240601503761</v>
      </c>
      <c r="N148" s="75">
        <f t="shared" si="62"/>
        <v>747.4706766917293</v>
      </c>
      <c r="O148" s="1"/>
      <c r="P148" s="1"/>
      <c r="Q148" s="7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</row>
    <row r="149" spans="2:32" ht="15.75" x14ac:dyDescent="0.25">
      <c r="B149" s="74">
        <f>IF(I149&lt;&gt;"",1+MAX(A$1:$B148),"")</f>
        <v>77</v>
      </c>
      <c r="C149" s="9" t="s">
        <v>200</v>
      </c>
      <c r="D149" s="9"/>
      <c r="E149" s="10" t="s">
        <v>180</v>
      </c>
      <c r="F149" s="13">
        <f>F145*2</f>
        <v>34.76</v>
      </c>
      <c r="G149" s="26">
        <v>0.1</v>
      </c>
      <c r="H149" s="27">
        <f t="shared" si="61"/>
        <v>38.236000000000004</v>
      </c>
      <c r="I149" s="14" t="s">
        <v>38</v>
      </c>
      <c r="J149" s="15">
        <v>1.8</v>
      </c>
      <c r="K149" s="15">
        <v>2.7</v>
      </c>
      <c r="L149" s="16">
        <f>J149*H149</f>
        <v>68.82480000000001</v>
      </c>
      <c r="M149" s="29">
        <f>K149*H149</f>
        <v>103.23720000000002</v>
      </c>
      <c r="N149" s="75">
        <f t="shared" si="62"/>
        <v>172.06200000000001</v>
      </c>
      <c r="O149" s="1"/>
      <c r="P149" s="1"/>
      <c r="Q149" s="7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</row>
    <row r="150" spans="2:32" ht="15.75" x14ac:dyDescent="0.25">
      <c r="B150" s="74">
        <f>IF(I150&lt;&gt;"",1+MAX(A$1:$B149),"")</f>
        <v>78</v>
      </c>
      <c r="C150" s="9" t="s">
        <v>200</v>
      </c>
      <c r="D150" s="9"/>
      <c r="E150" s="10" t="s">
        <v>61</v>
      </c>
      <c r="F150" s="13">
        <f>F145*4</f>
        <v>69.52</v>
      </c>
      <c r="G150" s="26">
        <v>0.1</v>
      </c>
      <c r="H150" s="27">
        <f t="shared" si="61"/>
        <v>76.472000000000008</v>
      </c>
      <c r="I150" s="14" t="s">
        <v>38</v>
      </c>
      <c r="J150" s="15">
        <v>0.4</v>
      </c>
      <c r="K150" s="15">
        <v>0.6</v>
      </c>
      <c r="L150" s="16">
        <f>J150*H150</f>
        <v>30.588800000000006</v>
      </c>
      <c r="M150" s="29">
        <f>K150*H150</f>
        <v>45.883200000000002</v>
      </c>
      <c r="N150" s="75">
        <f t="shared" si="62"/>
        <v>76.472000000000008</v>
      </c>
      <c r="O150" s="1"/>
      <c r="P150" s="1"/>
      <c r="Q150" s="7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</row>
    <row r="151" spans="2:32" ht="15.75" x14ac:dyDescent="0.25">
      <c r="B151" s="74" t="str">
        <f>IF(I151&lt;&gt;"",1+MAX(A$1:$B150),"")</f>
        <v/>
      </c>
      <c r="C151" s="9"/>
      <c r="D151" s="9"/>
      <c r="E151" s="10"/>
      <c r="F151" s="13"/>
      <c r="G151" s="26"/>
      <c r="H151" s="27"/>
      <c r="I151" s="14"/>
      <c r="J151" s="15" t="s">
        <v>28</v>
      </c>
      <c r="K151" s="15" t="s">
        <v>28</v>
      </c>
      <c r="L151" s="16"/>
      <c r="M151" s="29"/>
      <c r="N151" s="75"/>
      <c r="O151" s="1"/>
      <c r="P151" s="1"/>
      <c r="Q151" s="7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</row>
    <row r="152" spans="2:32" ht="15.75" x14ac:dyDescent="0.25">
      <c r="B152" s="74" t="str">
        <f>IF(I152&lt;&gt;"",1+MAX(A$1:$B151),"")</f>
        <v/>
      </c>
      <c r="C152" s="9"/>
      <c r="D152" s="9"/>
      <c r="E152" s="97" t="s">
        <v>104</v>
      </c>
      <c r="F152" s="98">
        <v>50.33</v>
      </c>
      <c r="G152" s="26"/>
      <c r="H152" s="27"/>
      <c r="I152" s="14"/>
      <c r="J152" s="15" t="s">
        <v>28</v>
      </c>
      <c r="K152" s="15" t="s">
        <v>28</v>
      </c>
      <c r="L152" s="16"/>
      <c r="M152" s="29"/>
      <c r="N152" s="75"/>
      <c r="O152" s="1"/>
      <c r="P152" s="1"/>
      <c r="Q152" s="7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</row>
    <row r="153" spans="2:32" ht="15.75" x14ac:dyDescent="0.25">
      <c r="B153" s="74">
        <f>IF(I153&lt;&gt;"",1+MAX(A$1:$B152),"")</f>
        <v>79</v>
      </c>
      <c r="C153" s="9" t="s">
        <v>200</v>
      </c>
      <c r="D153" s="9"/>
      <c r="E153" s="10" t="s">
        <v>63</v>
      </c>
      <c r="F153" s="13">
        <f>(F152*24)</f>
        <v>1207.92</v>
      </c>
      <c r="G153" s="26">
        <v>0.1</v>
      </c>
      <c r="H153" s="27">
        <f t="shared" ref="H153:H155" si="63">(1+G153)*F153</f>
        <v>1328.7120000000002</v>
      </c>
      <c r="I153" s="14" t="s">
        <v>30</v>
      </c>
      <c r="J153" s="15">
        <v>0.72000000000000008</v>
      </c>
      <c r="K153" s="15">
        <v>1.08</v>
      </c>
      <c r="L153" s="16">
        <f>J153*H153</f>
        <v>956.67264000000023</v>
      </c>
      <c r="M153" s="29">
        <f>K153*H153</f>
        <v>1435.0089600000003</v>
      </c>
      <c r="N153" s="75">
        <f t="shared" ref="N153:N155" si="64">M153+L153</f>
        <v>2391.6816000000008</v>
      </c>
      <c r="O153" s="1"/>
      <c r="P153" s="1"/>
      <c r="Q153" s="7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</row>
    <row r="154" spans="2:32" ht="15.75" x14ac:dyDescent="0.25">
      <c r="B154" s="74">
        <f>IF(I154&lt;&gt;"",1+MAX(A$1:$B153),"")</f>
        <v>80</v>
      </c>
      <c r="C154" s="9" t="s">
        <v>200</v>
      </c>
      <c r="D154" s="9"/>
      <c r="E154" s="10" t="s">
        <v>178</v>
      </c>
      <c r="F154" s="13">
        <f>F152*24</f>
        <v>1207.92</v>
      </c>
      <c r="G154" s="26">
        <v>0.1</v>
      </c>
      <c r="H154" s="27">
        <f t="shared" si="63"/>
        <v>1328.7120000000002</v>
      </c>
      <c r="I154" s="14" t="s">
        <v>30</v>
      </c>
      <c r="J154" s="15">
        <v>1.2800000000000002</v>
      </c>
      <c r="K154" s="15">
        <v>1.92</v>
      </c>
      <c r="L154" s="16">
        <f>J154*H154</f>
        <v>1700.7513600000007</v>
      </c>
      <c r="M154" s="29">
        <f>K154*H154</f>
        <v>2551.1270400000003</v>
      </c>
      <c r="N154" s="75">
        <f t="shared" si="64"/>
        <v>4251.8784000000014</v>
      </c>
      <c r="O154" s="1"/>
      <c r="P154" s="1"/>
      <c r="Q154" s="7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</row>
    <row r="155" spans="2:32" ht="15.75" x14ac:dyDescent="0.25">
      <c r="B155" s="74">
        <f>IF(I155&lt;&gt;"",1+MAX(A$1:$B154),"")</f>
        <v>81</v>
      </c>
      <c r="C155" s="9" t="s">
        <v>200</v>
      </c>
      <c r="D155" s="9"/>
      <c r="E155" s="10" t="s">
        <v>61</v>
      </c>
      <c r="F155" s="13">
        <f>F152*2</f>
        <v>100.66</v>
      </c>
      <c r="G155" s="26">
        <v>0.1</v>
      </c>
      <c r="H155" s="27">
        <f t="shared" si="63"/>
        <v>110.726</v>
      </c>
      <c r="I155" s="14" t="s">
        <v>38</v>
      </c>
      <c r="J155" s="15">
        <v>0.4</v>
      </c>
      <c r="K155" s="15">
        <v>0.6</v>
      </c>
      <c r="L155" s="16">
        <f>J155*H155</f>
        <v>44.290400000000005</v>
      </c>
      <c r="M155" s="29">
        <f>K155*H155</f>
        <v>66.435599999999994</v>
      </c>
      <c r="N155" s="75">
        <f t="shared" si="64"/>
        <v>110.726</v>
      </c>
      <c r="O155" s="1"/>
      <c r="P155" s="1"/>
      <c r="Q155" s="7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</row>
    <row r="156" spans="2:32" ht="15.75" x14ac:dyDescent="0.25">
      <c r="B156" s="74" t="str">
        <f>IF(I156&lt;&gt;"",1+MAX(A$1:$B155),"")</f>
        <v/>
      </c>
      <c r="C156" s="9"/>
      <c r="D156" s="9"/>
      <c r="E156" s="10"/>
      <c r="F156" s="13"/>
      <c r="G156" s="26"/>
      <c r="H156" s="27"/>
      <c r="I156" s="14"/>
      <c r="J156" s="15" t="s">
        <v>28</v>
      </c>
      <c r="K156" s="15" t="s">
        <v>28</v>
      </c>
      <c r="L156" s="16"/>
      <c r="M156" s="29"/>
      <c r="N156" s="75"/>
      <c r="O156" s="1"/>
      <c r="P156" s="1"/>
      <c r="Q156" s="7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</row>
    <row r="157" spans="2:32" ht="15.75" x14ac:dyDescent="0.25">
      <c r="B157" s="74" t="str">
        <f>IF(I157&lt;&gt;"",1+MAX(A$1:$B156),"")</f>
        <v/>
      </c>
      <c r="C157" s="9"/>
      <c r="D157" s="9"/>
      <c r="E157" s="97" t="s">
        <v>105</v>
      </c>
      <c r="F157" s="98">
        <v>95.32</v>
      </c>
      <c r="G157" s="26"/>
      <c r="H157" s="27"/>
      <c r="I157" s="14"/>
      <c r="J157" s="15" t="s">
        <v>28</v>
      </c>
      <c r="K157" s="15" t="s">
        <v>28</v>
      </c>
      <c r="L157" s="16"/>
      <c r="M157" s="29"/>
      <c r="N157" s="75"/>
      <c r="O157" s="1"/>
      <c r="P157" s="1"/>
      <c r="Q157" s="7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</row>
    <row r="158" spans="2:32" ht="15.75" x14ac:dyDescent="0.25">
      <c r="B158" s="74">
        <f>IF(I158&lt;&gt;"",1+MAX(A$1:$B157),"")</f>
        <v>82</v>
      </c>
      <c r="C158" s="9" t="s">
        <v>200</v>
      </c>
      <c r="D158" s="9"/>
      <c r="E158" s="10" t="s">
        <v>63</v>
      </c>
      <c r="F158" s="13">
        <f>(F157*16)</f>
        <v>1525.12</v>
      </c>
      <c r="G158" s="26">
        <v>0.1</v>
      </c>
      <c r="H158" s="27">
        <f t="shared" ref="H158:H160" si="65">(1+G158)*F158</f>
        <v>1677.6320000000001</v>
      </c>
      <c r="I158" s="14" t="s">
        <v>30</v>
      </c>
      <c r="J158" s="15">
        <v>0.72000000000000008</v>
      </c>
      <c r="K158" s="15">
        <v>1.08</v>
      </c>
      <c r="L158" s="16">
        <f>J158*H158</f>
        <v>1207.8950400000001</v>
      </c>
      <c r="M158" s="29">
        <f>K158*H158</f>
        <v>1811.8425600000003</v>
      </c>
      <c r="N158" s="75">
        <f t="shared" ref="N158:N160" si="66">M158+L158</f>
        <v>3019.7376000000004</v>
      </c>
      <c r="O158" s="1"/>
      <c r="P158" s="1"/>
      <c r="Q158" s="7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</row>
    <row r="159" spans="2:32" ht="15.75" x14ac:dyDescent="0.25">
      <c r="B159" s="74">
        <f>IF(I159&lt;&gt;"",1+MAX(A$1:$B158),"")</f>
        <v>83</v>
      </c>
      <c r="C159" s="9" t="s">
        <v>200</v>
      </c>
      <c r="D159" s="9"/>
      <c r="E159" s="10" t="s">
        <v>178</v>
      </c>
      <c r="F159" s="13">
        <f>F157*16</f>
        <v>1525.12</v>
      </c>
      <c r="G159" s="26">
        <v>0.1</v>
      </c>
      <c r="H159" s="27">
        <f t="shared" si="65"/>
        <v>1677.6320000000001</v>
      </c>
      <c r="I159" s="14" t="s">
        <v>30</v>
      </c>
      <c r="J159" s="15">
        <v>1.2800000000000002</v>
      </c>
      <c r="K159" s="15">
        <v>1.92</v>
      </c>
      <c r="L159" s="16">
        <f>J159*H159</f>
        <v>2147.3689600000007</v>
      </c>
      <c r="M159" s="29">
        <f>K159*H159</f>
        <v>3221.0534400000001</v>
      </c>
      <c r="N159" s="75">
        <f t="shared" si="66"/>
        <v>5368.4224000000013</v>
      </c>
      <c r="O159" s="1"/>
      <c r="P159" s="1"/>
      <c r="Q159" s="7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</row>
    <row r="160" spans="2:32" ht="15.75" x14ac:dyDescent="0.25">
      <c r="B160" s="74">
        <f>IF(I160&lt;&gt;"",1+MAX(A$1:$B159),"")</f>
        <v>84</v>
      </c>
      <c r="C160" s="9" t="s">
        <v>200</v>
      </c>
      <c r="D160" s="9"/>
      <c r="E160" s="10" t="s">
        <v>61</v>
      </c>
      <c r="F160" s="13">
        <f>F157*2</f>
        <v>190.64</v>
      </c>
      <c r="G160" s="26">
        <v>0.1</v>
      </c>
      <c r="H160" s="27">
        <f t="shared" si="65"/>
        <v>209.70400000000001</v>
      </c>
      <c r="I160" s="14" t="s">
        <v>38</v>
      </c>
      <c r="J160" s="15">
        <v>0.4</v>
      </c>
      <c r="K160" s="15">
        <v>0.6</v>
      </c>
      <c r="L160" s="16">
        <f>J160*H160</f>
        <v>83.881600000000006</v>
      </c>
      <c r="M160" s="29">
        <f>K160*H160</f>
        <v>125.8224</v>
      </c>
      <c r="N160" s="75">
        <f t="shared" si="66"/>
        <v>209.70400000000001</v>
      </c>
      <c r="O160" s="1"/>
      <c r="P160" s="1"/>
      <c r="Q160" s="7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</row>
    <row r="161" spans="2:32" ht="15.75" x14ac:dyDescent="0.25">
      <c r="B161" s="74" t="str">
        <f>IF(I161&lt;&gt;"",1+MAX(A$1:$B160),"")</f>
        <v/>
      </c>
      <c r="C161" s="9"/>
      <c r="D161" s="9"/>
      <c r="E161" s="10"/>
      <c r="F161" s="13"/>
      <c r="G161" s="26"/>
      <c r="H161" s="27"/>
      <c r="I161" s="14"/>
      <c r="J161" s="15" t="s">
        <v>28</v>
      </c>
      <c r="K161" s="15" t="s">
        <v>28</v>
      </c>
      <c r="L161" s="16"/>
      <c r="M161" s="29"/>
      <c r="N161" s="75"/>
      <c r="O161" s="1"/>
      <c r="P161" s="1"/>
      <c r="Q161" s="7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</row>
    <row r="162" spans="2:32" ht="15.75" x14ac:dyDescent="0.25">
      <c r="B162" s="74" t="str">
        <f>IF(I162&lt;&gt;"",1+MAX(A$1:$B161),"")</f>
        <v/>
      </c>
      <c r="C162" s="9"/>
      <c r="D162" s="9"/>
      <c r="E162" s="97" t="s">
        <v>106</v>
      </c>
      <c r="F162" s="98">
        <v>15.55</v>
      </c>
      <c r="G162" s="26"/>
      <c r="H162" s="27"/>
      <c r="I162" s="14"/>
      <c r="J162" s="15" t="s">
        <v>28</v>
      </c>
      <c r="K162" s="15" t="s">
        <v>28</v>
      </c>
      <c r="L162" s="16"/>
      <c r="M162" s="29"/>
      <c r="N162" s="75"/>
      <c r="O162" s="1"/>
      <c r="P162" s="1"/>
      <c r="Q162" s="7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</row>
    <row r="163" spans="2:32" ht="15.75" x14ac:dyDescent="0.25">
      <c r="B163" s="74">
        <f>IF(I163&lt;&gt;"",1+MAX(A$1:$B162),"")</f>
        <v>85</v>
      </c>
      <c r="C163" s="9" t="s">
        <v>200</v>
      </c>
      <c r="D163" s="9"/>
      <c r="E163" s="10" t="s">
        <v>63</v>
      </c>
      <c r="F163" s="13">
        <f>(F162*8)</f>
        <v>124.4</v>
      </c>
      <c r="G163" s="26">
        <v>0.1</v>
      </c>
      <c r="H163" s="27">
        <f t="shared" ref="H163:H165" si="67">(1+G163)*F163</f>
        <v>136.84</v>
      </c>
      <c r="I163" s="14" t="s">
        <v>30</v>
      </c>
      <c r="J163" s="15">
        <v>0.72000000000000008</v>
      </c>
      <c r="K163" s="15">
        <v>1.08</v>
      </c>
      <c r="L163" s="16">
        <f>J163*H163</f>
        <v>98.524800000000013</v>
      </c>
      <c r="M163" s="29">
        <f>K163*H163</f>
        <v>147.78720000000001</v>
      </c>
      <c r="N163" s="75">
        <f t="shared" ref="N163:N165" si="68">M163+L163</f>
        <v>246.31200000000001</v>
      </c>
      <c r="O163" s="1"/>
      <c r="P163" s="1"/>
      <c r="Q163" s="7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</row>
    <row r="164" spans="2:32" ht="15.75" x14ac:dyDescent="0.25">
      <c r="B164" s="74">
        <f>IF(I164&lt;&gt;"",1+MAX(A$1:$B163),"")</f>
        <v>86</v>
      </c>
      <c r="C164" s="9" t="s">
        <v>200</v>
      </c>
      <c r="D164" s="9"/>
      <c r="E164" s="10" t="s">
        <v>178</v>
      </c>
      <c r="F164" s="13">
        <f>F162*8</f>
        <v>124.4</v>
      </c>
      <c r="G164" s="26">
        <v>0.1</v>
      </c>
      <c r="H164" s="27">
        <f t="shared" si="67"/>
        <v>136.84</v>
      </c>
      <c r="I164" s="14" t="s">
        <v>30</v>
      </c>
      <c r="J164" s="15">
        <v>1.2800000000000002</v>
      </c>
      <c r="K164" s="15">
        <v>1.92</v>
      </c>
      <c r="L164" s="16">
        <f>J164*H164</f>
        <v>175.15520000000004</v>
      </c>
      <c r="M164" s="29">
        <f>K164*H164</f>
        <v>262.7328</v>
      </c>
      <c r="N164" s="75">
        <f t="shared" si="68"/>
        <v>437.88800000000003</v>
      </c>
      <c r="O164" s="1"/>
      <c r="P164" s="1"/>
      <c r="Q164" s="7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</row>
    <row r="165" spans="2:32" ht="15.75" x14ac:dyDescent="0.25">
      <c r="B165" s="74">
        <f>IF(I165&lt;&gt;"",1+MAX(A$1:$B164),"")</f>
        <v>87</v>
      </c>
      <c r="C165" s="9" t="s">
        <v>200</v>
      </c>
      <c r="D165" s="9"/>
      <c r="E165" s="10" t="s">
        <v>61</v>
      </c>
      <c r="F165" s="13">
        <f>F162*2</f>
        <v>31.1</v>
      </c>
      <c r="G165" s="26">
        <v>0.1</v>
      </c>
      <c r="H165" s="27">
        <f t="shared" si="67"/>
        <v>34.21</v>
      </c>
      <c r="I165" s="14" t="s">
        <v>38</v>
      </c>
      <c r="J165" s="15">
        <v>0.4</v>
      </c>
      <c r="K165" s="15">
        <v>0.6</v>
      </c>
      <c r="L165" s="16">
        <f>J165*H165</f>
        <v>13.684000000000001</v>
      </c>
      <c r="M165" s="29">
        <f>K165*H165</f>
        <v>20.526</v>
      </c>
      <c r="N165" s="75">
        <f t="shared" si="68"/>
        <v>34.21</v>
      </c>
      <c r="O165" s="1"/>
      <c r="P165" s="1"/>
      <c r="Q165" s="7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</row>
    <row r="166" spans="2:32" ht="15.75" x14ac:dyDescent="0.25">
      <c r="B166" s="74" t="str">
        <f>IF(I166&lt;&gt;"",1+MAX(A$1:$B165),"")</f>
        <v/>
      </c>
      <c r="C166" s="9"/>
      <c r="D166" s="9"/>
      <c r="E166" s="10"/>
      <c r="F166" s="13"/>
      <c r="G166" s="26"/>
      <c r="H166" s="27"/>
      <c r="I166" s="14"/>
      <c r="J166" s="15" t="s">
        <v>28</v>
      </c>
      <c r="K166" s="15" t="s">
        <v>28</v>
      </c>
      <c r="L166" s="16"/>
      <c r="M166" s="29"/>
      <c r="N166" s="75"/>
      <c r="O166" s="1"/>
      <c r="P166" s="1"/>
      <c r="Q166" s="7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</row>
    <row r="167" spans="2:32" ht="15.75" x14ac:dyDescent="0.25">
      <c r="B167" s="74">
        <f>IF(I167&lt;&gt;"",1+MAX(A$1:$B166),"")</f>
        <v>88</v>
      </c>
      <c r="C167" s="9" t="s">
        <v>200</v>
      </c>
      <c r="D167" s="9"/>
      <c r="E167" s="99" t="s">
        <v>69</v>
      </c>
      <c r="F167" s="13">
        <f>221*10</f>
        <v>2210</v>
      </c>
      <c r="G167" s="26">
        <v>0.1</v>
      </c>
      <c r="H167" s="27">
        <f t="shared" ref="H167" si="69">(1+G167)*F167</f>
        <v>2431</v>
      </c>
      <c r="I167" s="14" t="s">
        <v>38</v>
      </c>
      <c r="J167" s="15">
        <v>0.53600000000000003</v>
      </c>
      <c r="K167" s="15">
        <v>0.80400000000000005</v>
      </c>
      <c r="L167" s="16">
        <f>J167*H167</f>
        <v>1303.0160000000001</v>
      </c>
      <c r="M167" s="29">
        <f>K167*H167</f>
        <v>1954.5240000000001</v>
      </c>
      <c r="N167" s="75">
        <f t="shared" ref="N167" si="70">M167+L167</f>
        <v>3257.54</v>
      </c>
      <c r="O167" s="1"/>
      <c r="P167" s="1"/>
      <c r="Q167" s="7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</row>
    <row r="168" spans="2:32" ht="15.75" x14ac:dyDescent="0.25">
      <c r="B168" s="74">
        <f>IF(I168&lt;&gt;"",1+MAX(A$1:$B167),"")</f>
        <v>89</v>
      </c>
      <c r="C168" s="9" t="s">
        <v>200</v>
      </c>
      <c r="D168" s="9"/>
      <c r="E168" s="99" t="s">
        <v>70</v>
      </c>
      <c r="F168" s="13">
        <f>221*32*0.053</f>
        <v>374.81599999999997</v>
      </c>
      <c r="G168" s="26">
        <v>0.1</v>
      </c>
      <c r="H168" s="27">
        <f t="shared" ref="H168" si="71">(1+G168)*F168</f>
        <v>412.29759999999999</v>
      </c>
      <c r="I168" s="14" t="s">
        <v>41</v>
      </c>
      <c r="J168" s="15">
        <v>1.9600000000000002</v>
      </c>
      <c r="K168" s="15">
        <v>2.9400000000000004</v>
      </c>
      <c r="L168" s="16">
        <f>J168*H168</f>
        <v>808.103296</v>
      </c>
      <c r="M168" s="29">
        <f>K168*H168</f>
        <v>1212.1549440000001</v>
      </c>
      <c r="N168" s="75">
        <f t="shared" ref="N168" si="72">M168+L168</f>
        <v>2020.2582400000001</v>
      </c>
      <c r="O168" s="1"/>
      <c r="P168" s="1"/>
      <c r="Q168" s="7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</row>
    <row r="169" spans="2:32" ht="15.75" x14ac:dyDescent="0.25">
      <c r="B169" s="74">
        <f>IF(I169&lt;&gt;"",1+MAX(A$1:$B168),"")</f>
        <v>90</v>
      </c>
      <c r="C169" s="9" t="s">
        <v>200</v>
      </c>
      <c r="D169" s="9"/>
      <c r="E169" s="99" t="s">
        <v>71</v>
      </c>
      <c r="F169" s="13">
        <f>221*45</f>
        <v>9945</v>
      </c>
      <c r="G169" s="26">
        <v>0.1</v>
      </c>
      <c r="H169" s="27">
        <f t="shared" ref="H169" si="73">(1+G169)*F169</f>
        <v>10939.5</v>
      </c>
      <c r="I169" s="14" t="s">
        <v>29</v>
      </c>
      <c r="J169" s="15">
        <v>6.6800000000000012E-2</v>
      </c>
      <c r="K169" s="15">
        <v>0.1002</v>
      </c>
      <c r="L169" s="16">
        <f>J169*H169</f>
        <v>730.75860000000011</v>
      </c>
      <c r="M169" s="29">
        <f>K169*H169</f>
        <v>1096.1378999999999</v>
      </c>
      <c r="N169" s="75">
        <f t="shared" ref="N169" si="74">M169+L169</f>
        <v>1826.8965000000001</v>
      </c>
      <c r="O169" s="1"/>
      <c r="P169" s="1"/>
      <c r="Q169" s="7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</row>
    <row r="170" spans="2:32" ht="15.75" x14ac:dyDescent="0.25">
      <c r="B170" s="74" t="str">
        <f>IF(I170&lt;&gt;"",1+MAX(A$1:$B169),"")</f>
        <v/>
      </c>
      <c r="C170" s="9"/>
      <c r="D170" s="9"/>
      <c r="E170" s="10"/>
      <c r="F170" s="13"/>
      <c r="G170" s="26"/>
      <c r="H170" s="27"/>
      <c r="I170" s="14"/>
      <c r="J170" s="15" t="s">
        <v>28</v>
      </c>
      <c r="K170" s="15" t="s">
        <v>28</v>
      </c>
      <c r="L170" s="16"/>
      <c r="M170" s="29"/>
      <c r="N170" s="75"/>
      <c r="O170" s="1"/>
      <c r="P170" s="1"/>
      <c r="Q170" s="7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</row>
    <row r="171" spans="2:32" ht="15.75" x14ac:dyDescent="0.25">
      <c r="B171" s="74" t="str">
        <f>IF(I171&lt;&gt;"",1+MAX(A$1:$B170),"")</f>
        <v/>
      </c>
      <c r="C171" s="23"/>
      <c r="D171" s="25"/>
      <c r="E171" s="96" t="s">
        <v>58</v>
      </c>
      <c r="F171" s="13"/>
      <c r="G171" s="26"/>
      <c r="H171" s="27"/>
      <c r="I171" s="24"/>
      <c r="J171" s="15" t="s">
        <v>28</v>
      </c>
      <c r="K171" s="15" t="s">
        <v>28</v>
      </c>
      <c r="L171" s="15"/>
      <c r="M171" s="15"/>
      <c r="N171" s="79"/>
      <c r="O171" s="22"/>
      <c r="P171" s="22"/>
      <c r="Q171" s="7"/>
      <c r="R171" s="22"/>
      <c r="S171" s="2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</row>
    <row r="172" spans="2:32" ht="15.75" x14ac:dyDescent="0.25">
      <c r="B172" s="74">
        <f>IF(I172&lt;&gt;"",1+MAX(A$1:$B171),"")</f>
        <v>91</v>
      </c>
      <c r="C172" s="9" t="s">
        <v>200</v>
      </c>
      <c r="D172" s="9"/>
      <c r="E172" s="10" t="s">
        <v>72</v>
      </c>
      <c r="F172" s="13">
        <v>74.349999999999994</v>
      </c>
      <c r="G172" s="26">
        <v>0.1</v>
      </c>
      <c r="H172" s="27">
        <f t="shared" ref="H172:H179" si="75">(1+G172)*F172</f>
        <v>81.784999999999997</v>
      </c>
      <c r="I172" s="14" t="s">
        <v>30</v>
      </c>
      <c r="J172" s="15">
        <v>2.04</v>
      </c>
      <c r="K172" s="15">
        <v>3.0599999999999996</v>
      </c>
      <c r="L172" s="16">
        <f>J172*H172</f>
        <v>166.84139999999999</v>
      </c>
      <c r="M172" s="29">
        <f>K172*H172</f>
        <v>250.26209999999995</v>
      </c>
      <c r="N172" s="75">
        <f t="shared" ref="N172:N179" si="76">M172+L172</f>
        <v>417.10349999999994</v>
      </c>
      <c r="O172" s="1"/>
      <c r="P172" s="1"/>
      <c r="Q172" s="7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</row>
    <row r="173" spans="2:32" ht="15.75" x14ac:dyDescent="0.25">
      <c r="B173" s="74">
        <f>IF(I173&lt;&gt;"",1+MAX(A$1:$B172),"")</f>
        <v>92</v>
      </c>
      <c r="C173" s="9" t="s">
        <v>200</v>
      </c>
      <c r="D173" s="9"/>
      <c r="E173" s="10" t="s">
        <v>73</v>
      </c>
      <c r="F173" s="13">
        <v>250.3</v>
      </c>
      <c r="G173" s="26">
        <v>0.1</v>
      </c>
      <c r="H173" s="27">
        <f t="shared" si="75"/>
        <v>275.33000000000004</v>
      </c>
      <c r="I173" s="14" t="s">
        <v>30</v>
      </c>
      <c r="J173" s="15">
        <v>2.2000000000000002</v>
      </c>
      <c r="K173" s="15">
        <v>3.3</v>
      </c>
      <c r="L173" s="16">
        <f>J173*H173</f>
        <v>605.72600000000011</v>
      </c>
      <c r="M173" s="29">
        <f>K173*H173</f>
        <v>908.58900000000006</v>
      </c>
      <c r="N173" s="75">
        <f t="shared" si="76"/>
        <v>1514.3150000000001</v>
      </c>
      <c r="O173" s="1"/>
      <c r="P173" s="1"/>
      <c r="Q173" s="7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</row>
    <row r="174" spans="2:32" ht="15.75" x14ac:dyDescent="0.25">
      <c r="B174" s="74" t="str">
        <f>IF(I174&lt;&gt;"",1+MAX(A$1:$B173),"")</f>
        <v/>
      </c>
      <c r="C174" s="9"/>
      <c r="D174" s="9"/>
      <c r="E174" s="10"/>
      <c r="F174" s="13"/>
      <c r="G174" s="26"/>
      <c r="H174" s="27"/>
      <c r="I174" s="14"/>
      <c r="J174" s="15" t="s">
        <v>28</v>
      </c>
      <c r="K174" s="15" t="s">
        <v>28</v>
      </c>
      <c r="L174" s="16"/>
      <c r="M174" s="29"/>
      <c r="N174" s="75"/>
      <c r="O174" s="1"/>
      <c r="P174" s="1"/>
      <c r="Q174" s="7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</row>
    <row r="175" spans="2:32" ht="15.75" x14ac:dyDescent="0.25">
      <c r="B175" s="74">
        <f>IF(I175&lt;&gt;"",1+MAX(A$1:$B174),"")</f>
        <v>93</v>
      </c>
      <c r="C175" s="9" t="s">
        <v>200</v>
      </c>
      <c r="D175" s="9"/>
      <c r="E175" s="10" t="s">
        <v>74</v>
      </c>
      <c r="F175" s="13">
        <f>325/1.33</f>
        <v>244.36090225563908</v>
      </c>
      <c r="G175" s="26">
        <v>0.1</v>
      </c>
      <c r="H175" s="27">
        <f t="shared" ref="H175" si="77">(1+G175)*F175</f>
        <v>268.79699248120301</v>
      </c>
      <c r="I175" s="14" t="s">
        <v>38</v>
      </c>
      <c r="J175" s="15">
        <v>1.4000000000000001</v>
      </c>
      <c r="K175" s="15">
        <v>2.0999999999999996</v>
      </c>
      <c r="L175" s="16">
        <f>J175*H175</f>
        <v>376.31578947368422</v>
      </c>
      <c r="M175" s="29">
        <f>K175*H175</f>
        <v>564.47368421052624</v>
      </c>
      <c r="N175" s="75">
        <f t="shared" ref="N175" si="78">M175+L175</f>
        <v>940.78947368421041</v>
      </c>
      <c r="O175" s="1"/>
      <c r="P175" s="1"/>
      <c r="Q175" s="7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</row>
    <row r="176" spans="2:32" ht="15.75" x14ac:dyDescent="0.25">
      <c r="B176" s="74" t="str">
        <f>IF(I176&lt;&gt;"",1+MAX(A$1:$B175),"")</f>
        <v/>
      </c>
      <c r="C176" s="9"/>
      <c r="D176" s="9"/>
      <c r="E176" s="10"/>
      <c r="F176" s="13"/>
      <c r="G176" s="26"/>
      <c r="H176" s="27"/>
      <c r="I176" s="14"/>
      <c r="J176" s="15" t="s">
        <v>28</v>
      </c>
      <c r="K176" s="15" t="s">
        <v>28</v>
      </c>
      <c r="L176" s="16"/>
      <c r="M176" s="29"/>
      <c r="N176" s="75"/>
      <c r="O176" s="1"/>
      <c r="P176" s="1"/>
      <c r="Q176" s="7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</row>
    <row r="177" spans="1:32" ht="15.75" x14ac:dyDescent="0.25">
      <c r="B177" s="74">
        <f>IF(I177&lt;&gt;"",1+MAX(A$1:$B176),"")</f>
        <v>94</v>
      </c>
      <c r="C177" s="9" t="s">
        <v>200</v>
      </c>
      <c r="D177" s="9"/>
      <c r="E177" s="99" t="s">
        <v>69</v>
      </c>
      <c r="F177" s="13">
        <f>10*10</f>
        <v>100</v>
      </c>
      <c r="G177" s="26">
        <v>0.1</v>
      </c>
      <c r="H177" s="27">
        <f t="shared" si="75"/>
        <v>110.00000000000001</v>
      </c>
      <c r="I177" s="14" t="s">
        <v>38</v>
      </c>
      <c r="J177" s="15">
        <v>0.53600000000000003</v>
      </c>
      <c r="K177" s="15">
        <v>0.80400000000000005</v>
      </c>
      <c r="L177" s="16">
        <f>J177*H177</f>
        <v>58.960000000000008</v>
      </c>
      <c r="M177" s="29">
        <f>K177*H177</f>
        <v>88.440000000000012</v>
      </c>
      <c r="N177" s="75">
        <f t="shared" si="76"/>
        <v>147.40000000000003</v>
      </c>
      <c r="O177" s="1"/>
      <c r="P177" s="1"/>
      <c r="Q177" s="7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</row>
    <row r="178" spans="1:32" ht="15.75" x14ac:dyDescent="0.25">
      <c r="B178" s="74">
        <f>IF(I178&lt;&gt;"",1+MAX(A$1:$B177),"")</f>
        <v>95</v>
      </c>
      <c r="C178" s="9" t="s">
        <v>200</v>
      </c>
      <c r="D178" s="9"/>
      <c r="E178" s="99" t="s">
        <v>70</v>
      </c>
      <c r="F178" s="13">
        <f>10*32*0.053</f>
        <v>16.96</v>
      </c>
      <c r="G178" s="26">
        <v>0.1</v>
      </c>
      <c r="H178" s="27">
        <f t="shared" si="75"/>
        <v>18.656000000000002</v>
      </c>
      <c r="I178" s="14" t="s">
        <v>41</v>
      </c>
      <c r="J178" s="15">
        <v>1.9600000000000002</v>
      </c>
      <c r="K178" s="15">
        <v>2.9400000000000004</v>
      </c>
      <c r="L178" s="16">
        <f>J178*H178</f>
        <v>36.565760000000012</v>
      </c>
      <c r="M178" s="29">
        <f>K178*H178</f>
        <v>54.848640000000017</v>
      </c>
      <c r="N178" s="75">
        <f t="shared" si="76"/>
        <v>91.414400000000029</v>
      </c>
      <c r="O178" s="1"/>
      <c r="P178" s="1"/>
      <c r="Q178" s="7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</row>
    <row r="179" spans="1:32" ht="15.75" x14ac:dyDescent="0.25">
      <c r="B179" s="74">
        <f>IF(I179&lt;&gt;"",1+MAX(A$1:$B178),"")</f>
        <v>96</v>
      </c>
      <c r="C179" s="9" t="s">
        <v>200</v>
      </c>
      <c r="D179" s="9"/>
      <c r="E179" s="99" t="s">
        <v>71</v>
      </c>
      <c r="F179" s="13">
        <f>10*45</f>
        <v>450</v>
      </c>
      <c r="G179" s="26">
        <v>0.1</v>
      </c>
      <c r="H179" s="27">
        <f t="shared" si="75"/>
        <v>495.00000000000006</v>
      </c>
      <c r="I179" s="14" t="s">
        <v>29</v>
      </c>
      <c r="J179" s="15">
        <v>5.6000000000000008E-2</v>
      </c>
      <c r="K179" s="15">
        <v>8.4000000000000005E-2</v>
      </c>
      <c r="L179" s="16">
        <f>J179*H179</f>
        <v>27.720000000000006</v>
      </c>
      <c r="M179" s="29">
        <f>K179*H179</f>
        <v>41.580000000000005</v>
      </c>
      <c r="N179" s="75">
        <f t="shared" si="76"/>
        <v>69.300000000000011</v>
      </c>
      <c r="O179" s="1"/>
      <c r="P179" s="1"/>
      <c r="Q179" s="7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</row>
    <row r="180" spans="1:32" ht="15.75" x14ac:dyDescent="0.25">
      <c r="B180" s="74" t="str">
        <f>IF(I180&lt;&gt;"",1+MAX(A$1:$B179),"")</f>
        <v/>
      </c>
      <c r="C180" s="9"/>
      <c r="D180" s="9"/>
      <c r="E180" s="10"/>
      <c r="F180" s="13"/>
      <c r="G180" s="26"/>
      <c r="H180" s="27"/>
      <c r="I180" s="14"/>
      <c r="J180" s="15" t="s">
        <v>28</v>
      </c>
      <c r="K180" s="15" t="s">
        <v>28</v>
      </c>
      <c r="L180" s="16"/>
      <c r="M180" s="29"/>
      <c r="N180" s="75"/>
      <c r="O180" s="1"/>
      <c r="P180" s="1"/>
      <c r="Q180" s="7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</row>
    <row r="181" spans="1:32" ht="15.75" x14ac:dyDescent="0.25">
      <c r="B181" s="74" t="str">
        <f>IF(I181&lt;&gt;"",1+MAX(A$1:$B180),"")</f>
        <v/>
      </c>
      <c r="C181" s="23"/>
      <c r="D181" s="25"/>
      <c r="E181" s="96" t="s">
        <v>75</v>
      </c>
      <c r="F181" s="13"/>
      <c r="G181" s="26"/>
      <c r="H181" s="27"/>
      <c r="I181" s="24"/>
      <c r="J181" s="15" t="s">
        <v>28</v>
      </c>
      <c r="K181" s="15" t="s">
        <v>28</v>
      </c>
      <c r="L181" s="15"/>
      <c r="M181" s="15"/>
      <c r="N181" s="79"/>
      <c r="O181" s="22"/>
      <c r="P181" s="22"/>
      <c r="Q181" s="7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</row>
    <row r="182" spans="1:32" ht="15.75" x14ac:dyDescent="0.25">
      <c r="B182" s="74">
        <f>IF(I182&lt;&gt;"",1+MAX(A$1:$B181),"")</f>
        <v>97</v>
      </c>
      <c r="C182" s="9" t="s">
        <v>200</v>
      </c>
      <c r="D182" s="9"/>
      <c r="E182" s="10" t="s">
        <v>201</v>
      </c>
      <c r="F182" s="13">
        <v>140</v>
      </c>
      <c r="G182" s="26">
        <v>0.1</v>
      </c>
      <c r="H182" s="27">
        <f t="shared" ref="H182" si="79">(1+G182)*F182</f>
        <v>154</v>
      </c>
      <c r="I182" s="14" t="s">
        <v>38</v>
      </c>
      <c r="J182" s="15">
        <v>1.2800000000000002</v>
      </c>
      <c r="K182" s="15">
        <v>1.92</v>
      </c>
      <c r="L182" s="16">
        <f>J182*H182</f>
        <v>197.12000000000003</v>
      </c>
      <c r="M182" s="29">
        <f>K182*H182</f>
        <v>295.68</v>
      </c>
      <c r="N182" s="75">
        <f t="shared" ref="N182" si="80">M182+L182</f>
        <v>492.80000000000007</v>
      </c>
      <c r="O182" s="1"/>
      <c r="P182" s="1"/>
      <c r="Q182" s="7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</row>
    <row r="183" spans="1:32" ht="15.75" x14ac:dyDescent="0.25">
      <c r="B183" s="74">
        <f>IF(I183&lt;&gt;"",1+MAX(A$1:$B182),"")</f>
        <v>98</v>
      </c>
      <c r="C183" s="9" t="s">
        <v>200</v>
      </c>
      <c r="D183" s="9"/>
      <c r="E183" s="10" t="s">
        <v>76</v>
      </c>
      <c r="F183" s="13">
        <v>286</v>
      </c>
      <c r="G183" s="26">
        <v>0.1</v>
      </c>
      <c r="H183" s="27">
        <f t="shared" ref="H183" si="81">(1+G183)*F183</f>
        <v>314.60000000000002</v>
      </c>
      <c r="I183" s="14" t="s">
        <v>38</v>
      </c>
      <c r="J183" s="15">
        <v>1.2000000000000002</v>
      </c>
      <c r="K183" s="15">
        <v>1.7999999999999998</v>
      </c>
      <c r="L183" s="16">
        <f>J183*H183</f>
        <v>377.5200000000001</v>
      </c>
      <c r="M183" s="29">
        <f>K183*H183</f>
        <v>566.28</v>
      </c>
      <c r="N183" s="75">
        <f t="shared" ref="N183" si="82">M183+L183</f>
        <v>943.80000000000007</v>
      </c>
      <c r="O183" s="1"/>
      <c r="P183" s="1"/>
      <c r="Q183" s="7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</row>
    <row r="184" spans="1:32" ht="15.75" x14ac:dyDescent="0.25">
      <c r="B184" s="74" t="str">
        <f>IF(I184&lt;&gt;"",1+MAX(A$1:$B183),"")</f>
        <v/>
      </c>
      <c r="C184" s="9"/>
      <c r="D184" s="9"/>
      <c r="E184" s="10"/>
      <c r="F184" s="13"/>
      <c r="G184" s="26"/>
      <c r="H184" s="27"/>
      <c r="I184" s="14"/>
      <c r="J184" s="15" t="s">
        <v>28</v>
      </c>
      <c r="K184" s="15" t="s">
        <v>28</v>
      </c>
      <c r="L184" s="16"/>
      <c r="M184" s="29"/>
      <c r="N184" s="75"/>
      <c r="O184" s="1"/>
      <c r="P184" s="1"/>
      <c r="Q184" s="7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</row>
    <row r="185" spans="1:32" ht="15.75" x14ac:dyDescent="0.25">
      <c r="B185" s="74" t="str">
        <f>IF(I185&lt;&gt;"",1+MAX(A$1:$B184),"")</f>
        <v/>
      </c>
      <c r="C185" s="23"/>
      <c r="D185" s="25"/>
      <c r="E185" s="96" t="s">
        <v>52</v>
      </c>
      <c r="F185" s="13"/>
      <c r="G185" s="26"/>
      <c r="H185" s="27"/>
      <c r="I185" s="24"/>
      <c r="J185" s="15" t="s">
        <v>28</v>
      </c>
      <c r="K185" s="15" t="s">
        <v>28</v>
      </c>
      <c r="L185" s="15"/>
      <c r="M185" s="15"/>
      <c r="N185" s="79"/>
      <c r="O185" s="22"/>
      <c r="P185" s="22"/>
      <c r="Q185" s="7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F185" s="22"/>
    </row>
    <row r="186" spans="1:32" ht="15.75" x14ac:dyDescent="0.25">
      <c r="B186" s="74">
        <f>IF(I186&lt;&gt;"",1+MAX(A$1:$B185),"")</f>
        <v>99</v>
      </c>
      <c r="C186" s="9" t="s">
        <v>200</v>
      </c>
      <c r="D186" s="9"/>
      <c r="E186" s="10" t="s">
        <v>103</v>
      </c>
      <c r="F186" s="13">
        <v>426.37</v>
      </c>
      <c r="G186" s="26">
        <v>0.1</v>
      </c>
      <c r="H186" s="27">
        <f t="shared" ref="H186" si="83">(1+G186)*F186</f>
        <v>469.00700000000006</v>
      </c>
      <c r="I186" s="14" t="s">
        <v>38</v>
      </c>
      <c r="J186" s="15">
        <v>1.06</v>
      </c>
      <c r="K186" s="15">
        <v>1.5899999999999999</v>
      </c>
      <c r="L186" s="16">
        <f>J186*H186</f>
        <v>497.14742000000007</v>
      </c>
      <c r="M186" s="29">
        <f>K186*H186</f>
        <v>745.72113000000002</v>
      </c>
      <c r="N186" s="75">
        <f t="shared" ref="N186" si="84">M186+L186</f>
        <v>1242.8685500000001</v>
      </c>
      <c r="O186" s="1"/>
      <c r="P186" s="1"/>
      <c r="Q186" s="7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</row>
    <row r="187" spans="1:32" ht="15.75" x14ac:dyDescent="0.25">
      <c r="B187" s="74" t="str">
        <f>IF(I187&lt;&gt;"",1+MAX(A$1:$B186),"")</f>
        <v/>
      </c>
      <c r="C187" s="9"/>
      <c r="D187" s="9"/>
      <c r="E187" s="10"/>
      <c r="F187" s="13"/>
      <c r="G187" s="26"/>
      <c r="H187" s="27"/>
      <c r="I187" s="14"/>
      <c r="J187" s="15" t="s">
        <v>28</v>
      </c>
      <c r="K187" s="15" t="s">
        <v>28</v>
      </c>
      <c r="L187" s="16"/>
      <c r="M187" s="29"/>
      <c r="N187" s="75"/>
      <c r="O187" s="1"/>
      <c r="P187" s="1"/>
      <c r="Q187" s="7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</row>
    <row r="188" spans="1:32" ht="15.75" x14ac:dyDescent="0.25">
      <c r="B188" s="74" t="str">
        <f>IF(I188&lt;&gt;"",1+MAX(A$1:$B187),"")</f>
        <v/>
      </c>
      <c r="C188" s="23"/>
      <c r="D188" s="25"/>
      <c r="E188" s="96" t="s">
        <v>53</v>
      </c>
      <c r="F188" s="13"/>
      <c r="G188" s="26"/>
      <c r="H188" s="27"/>
      <c r="I188" s="24"/>
      <c r="J188" s="15" t="s">
        <v>28</v>
      </c>
      <c r="K188" s="15" t="s">
        <v>28</v>
      </c>
      <c r="L188" s="15"/>
      <c r="M188" s="15"/>
      <c r="N188" s="79"/>
      <c r="O188" s="22"/>
      <c r="P188" s="22"/>
      <c r="Q188" s="7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F188" s="22"/>
    </row>
    <row r="189" spans="1:32" ht="15.75" x14ac:dyDescent="0.25">
      <c r="B189" s="74">
        <f>IF(I189&lt;&gt;"",1+MAX(A$1:$B188),"")</f>
        <v>100</v>
      </c>
      <c r="C189" s="9" t="s">
        <v>200</v>
      </c>
      <c r="D189" s="9"/>
      <c r="E189" s="10" t="s">
        <v>113</v>
      </c>
      <c r="F189" s="13">
        <f>5*93.03</f>
        <v>465.15</v>
      </c>
      <c r="G189" s="26">
        <v>0.1</v>
      </c>
      <c r="H189" s="27">
        <f t="shared" ref="H189" si="85">(1+G189)*F189</f>
        <v>511.66500000000002</v>
      </c>
      <c r="I189" s="14" t="s">
        <v>30</v>
      </c>
      <c r="J189" s="15">
        <v>4.8000000000000007</v>
      </c>
      <c r="K189" s="15">
        <v>7.1999999999999993</v>
      </c>
      <c r="L189" s="16">
        <f>J189*H189</f>
        <v>2455.9920000000006</v>
      </c>
      <c r="M189" s="29">
        <f>K189*H189</f>
        <v>3683.9879999999998</v>
      </c>
      <c r="N189" s="75">
        <f t="shared" ref="N189" si="86">M189+L189</f>
        <v>6139.9800000000005</v>
      </c>
      <c r="O189" s="1"/>
      <c r="P189" s="1"/>
      <c r="Q189" s="7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</row>
    <row r="190" spans="1:32" ht="15.75" x14ac:dyDescent="0.25">
      <c r="B190" s="74" t="str">
        <f>IF(I190&lt;&gt;"",1+MAX(A$1:$B189),"")</f>
        <v/>
      </c>
      <c r="C190" s="9"/>
      <c r="D190" s="9"/>
      <c r="E190" s="10"/>
      <c r="F190" s="13"/>
      <c r="G190" s="26"/>
      <c r="H190" s="27"/>
      <c r="I190" s="14"/>
      <c r="J190" s="15" t="s">
        <v>28</v>
      </c>
      <c r="K190" s="15" t="s">
        <v>28</v>
      </c>
      <c r="L190" s="16"/>
      <c r="M190" s="29"/>
      <c r="N190" s="75"/>
      <c r="O190" s="1"/>
      <c r="P190" s="1"/>
      <c r="Q190" s="7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</row>
    <row r="191" spans="1:32" ht="15.75" x14ac:dyDescent="0.25">
      <c r="A191" s="28"/>
      <c r="B191" s="74" t="str">
        <f>IF(I191&lt;&gt;"",1+MAX(A$1:$B190),"")</f>
        <v/>
      </c>
      <c r="C191" s="8"/>
      <c r="D191" s="14"/>
      <c r="E191" s="18" t="s">
        <v>2</v>
      </c>
      <c r="F191" s="17"/>
      <c r="G191" s="17"/>
      <c r="H191" s="13"/>
      <c r="I191" s="17"/>
      <c r="J191" s="20" t="s">
        <v>28</v>
      </c>
      <c r="K191" s="20" t="s">
        <v>28</v>
      </c>
      <c r="L191" s="76">
        <f>SUM(L99:L189)</f>
        <v>26201.324997753389</v>
      </c>
      <c r="M191" s="76">
        <f>SUM(M99:M189)</f>
        <v>39301.987496630078</v>
      </c>
      <c r="N191" s="76">
        <f>SUM(N99:N189)</f>
        <v>65503.312494383492</v>
      </c>
      <c r="O191" s="30"/>
      <c r="P191" s="30"/>
      <c r="Q191" s="7"/>
      <c r="R191" s="30"/>
      <c r="S191" s="30"/>
      <c r="T191" s="30"/>
      <c r="U191" s="30"/>
      <c r="V191" s="30"/>
      <c r="W191" s="30"/>
      <c r="X191" s="30"/>
      <c r="Y191" s="30"/>
      <c r="Z191" s="30"/>
      <c r="AA191" s="30"/>
      <c r="AB191" s="30"/>
      <c r="AC191" s="30"/>
      <c r="AD191" s="30"/>
      <c r="AE191" s="30"/>
      <c r="AF191" s="30"/>
    </row>
    <row r="192" spans="1:32" ht="15.75" x14ac:dyDescent="0.25">
      <c r="B192" s="77" t="str">
        <f>IF(I192&lt;&gt;"",1+MAX(A$1:$B191),"")</f>
        <v/>
      </c>
      <c r="C192" s="31"/>
      <c r="D192" s="70">
        <v>10</v>
      </c>
      <c r="E192" s="71" t="s">
        <v>117</v>
      </c>
      <c r="F192" s="21"/>
      <c r="G192" s="21"/>
      <c r="H192" s="21"/>
      <c r="I192" s="21"/>
      <c r="J192" s="21" t="s">
        <v>28</v>
      </c>
      <c r="K192" s="21" t="s">
        <v>28</v>
      </c>
      <c r="L192" s="21"/>
      <c r="M192" s="21"/>
      <c r="N192" s="78"/>
      <c r="O192" s="22"/>
      <c r="P192" s="1"/>
      <c r="Q192" s="7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</row>
    <row r="193" spans="1:32" ht="15.75" x14ac:dyDescent="0.25">
      <c r="B193" s="74" t="str">
        <f>IF(I193&lt;&gt;"",1+MAX(A$1:$B192),"")</f>
        <v/>
      </c>
      <c r="C193" s="23"/>
      <c r="D193" s="9"/>
      <c r="E193" s="10"/>
      <c r="F193" s="11"/>
      <c r="G193" s="12"/>
      <c r="H193" s="13"/>
      <c r="I193" s="14"/>
      <c r="J193" s="15" t="s">
        <v>28</v>
      </c>
      <c r="K193" s="15" t="s">
        <v>28</v>
      </c>
      <c r="L193" s="16"/>
      <c r="M193" s="16"/>
      <c r="N193" s="75"/>
      <c r="O193" s="94"/>
      <c r="P193" s="1"/>
      <c r="Q193" s="7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</row>
    <row r="194" spans="1:32" ht="15.75" x14ac:dyDescent="0.25">
      <c r="B194" s="74" t="str">
        <f>IF(I194&lt;&gt;"",1+MAX(A$1:$B193),"")</f>
        <v/>
      </c>
      <c r="C194" s="23"/>
      <c r="D194" s="25"/>
      <c r="E194" s="96" t="s">
        <v>118</v>
      </c>
      <c r="F194" s="13"/>
      <c r="G194" s="26"/>
      <c r="H194" s="27"/>
      <c r="I194" s="24"/>
      <c r="J194" s="15" t="s">
        <v>28</v>
      </c>
      <c r="K194" s="15" t="s">
        <v>28</v>
      </c>
      <c r="L194" s="15"/>
      <c r="M194" s="15"/>
      <c r="N194" s="79"/>
      <c r="O194" s="22"/>
      <c r="P194" s="22"/>
      <c r="Q194" s="7"/>
      <c r="R194" s="22"/>
      <c r="S194" s="22"/>
      <c r="T194" s="22"/>
      <c r="U194" s="22"/>
      <c r="V194" s="22"/>
      <c r="W194" s="22"/>
      <c r="X194" s="22"/>
      <c r="Y194" s="22"/>
      <c r="Z194" s="22"/>
      <c r="AA194" s="22"/>
      <c r="AB194" s="22"/>
      <c r="AC194" s="22"/>
      <c r="AD194" s="22"/>
      <c r="AE194" s="22"/>
      <c r="AF194" s="22"/>
    </row>
    <row r="195" spans="1:32" ht="15.75" x14ac:dyDescent="0.25">
      <c r="B195" s="74">
        <f>IF(I195&lt;&gt;"",1+MAX(A$1:$B194),"")</f>
        <v>101</v>
      </c>
      <c r="C195" s="9" t="s">
        <v>200</v>
      </c>
      <c r="D195" s="9"/>
      <c r="E195" s="10" t="s">
        <v>213</v>
      </c>
      <c r="F195" s="13">
        <v>29.71</v>
      </c>
      <c r="G195" s="26">
        <v>0</v>
      </c>
      <c r="H195" s="27">
        <f t="shared" ref="H195:H200" si="87">(1+G195)*F195</f>
        <v>29.71</v>
      </c>
      <c r="I195" s="14" t="s">
        <v>38</v>
      </c>
      <c r="J195" s="15">
        <v>3.84</v>
      </c>
      <c r="K195" s="15">
        <v>12.16</v>
      </c>
      <c r="L195" s="16">
        <f>J195*H195</f>
        <v>114.0864</v>
      </c>
      <c r="M195" s="29">
        <f>K195*H195</f>
        <v>361.27359999999999</v>
      </c>
      <c r="N195" s="75">
        <f t="shared" ref="N195:N200" si="88">M195+L195</f>
        <v>475.36</v>
      </c>
      <c r="O195" s="1"/>
      <c r="P195" s="1"/>
      <c r="Q195" s="7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</row>
    <row r="196" spans="1:32" ht="15.75" x14ac:dyDescent="0.25">
      <c r="B196" s="74">
        <f>IF(I196&lt;&gt;"",1+MAX(A$1:$B195),"")</f>
        <v>102</v>
      </c>
      <c r="C196" s="9" t="s">
        <v>200</v>
      </c>
      <c r="D196" s="9"/>
      <c r="E196" s="10" t="s">
        <v>119</v>
      </c>
      <c r="F196" s="13">
        <v>2.96</v>
      </c>
      <c r="G196" s="26">
        <v>0</v>
      </c>
      <c r="H196" s="27">
        <f t="shared" si="87"/>
        <v>2.96</v>
      </c>
      <c r="I196" s="14" t="s">
        <v>38</v>
      </c>
      <c r="J196" s="15">
        <v>3.36</v>
      </c>
      <c r="K196" s="15">
        <v>10.64</v>
      </c>
      <c r="L196" s="16">
        <f>J196*H196</f>
        <v>9.9455999999999989</v>
      </c>
      <c r="M196" s="29">
        <f>K196*H196</f>
        <v>31.494400000000002</v>
      </c>
      <c r="N196" s="75">
        <f t="shared" si="88"/>
        <v>41.44</v>
      </c>
      <c r="O196" s="1"/>
      <c r="P196" s="1"/>
      <c r="Q196" s="7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</row>
    <row r="197" spans="1:32" ht="15.75" x14ac:dyDescent="0.25">
      <c r="B197" s="74" t="str">
        <f>IF(I197&lt;&gt;"",1+MAX(A$1:$B196),"")</f>
        <v/>
      </c>
      <c r="C197" s="9"/>
      <c r="D197" s="9"/>
      <c r="E197" s="10"/>
      <c r="F197" s="13"/>
      <c r="G197" s="26"/>
      <c r="H197" s="27"/>
      <c r="I197" s="14"/>
      <c r="J197" s="15" t="s">
        <v>28</v>
      </c>
      <c r="K197" s="15" t="s">
        <v>28</v>
      </c>
      <c r="L197" s="16"/>
      <c r="M197" s="29"/>
      <c r="N197" s="75"/>
      <c r="O197" s="1"/>
      <c r="P197" s="1"/>
      <c r="Q197" s="7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</row>
    <row r="198" spans="1:32" ht="15.75" x14ac:dyDescent="0.25">
      <c r="B198" s="74" t="str">
        <f>IF(I198&lt;&gt;"",1+MAX(A$1:$B197),"")</f>
        <v/>
      </c>
      <c r="C198" s="9"/>
      <c r="D198" s="9"/>
      <c r="E198" s="96" t="s">
        <v>149</v>
      </c>
      <c r="F198" s="13"/>
      <c r="G198" s="26"/>
      <c r="H198" s="27"/>
      <c r="I198" s="14"/>
      <c r="J198" s="15" t="s">
        <v>28</v>
      </c>
      <c r="K198" s="15" t="s">
        <v>28</v>
      </c>
      <c r="L198" s="16"/>
      <c r="M198" s="29"/>
      <c r="N198" s="75"/>
      <c r="O198" s="1"/>
      <c r="P198" s="1"/>
      <c r="Q198" s="7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</row>
    <row r="199" spans="1:32" ht="15.75" x14ac:dyDescent="0.25">
      <c r="B199" s="74">
        <f>IF(I199&lt;&gt;"",1+MAX(A$1:$B198),"")</f>
        <v>103</v>
      </c>
      <c r="C199" s="9" t="s">
        <v>214</v>
      </c>
      <c r="D199" s="9"/>
      <c r="E199" s="10" t="s">
        <v>150</v>
      </c>
      <c r="F199" s="13">
        <v>2</v>
      </c>
      <c r="G199" s="26">
        <v>0</v>
      </c>
      <c r="H199" s="27">
        <f t="shared" si="87"/>
        <v>2</v>
      </c>
      <c r="I199" s="14" t="s">
        <v>29</v>
      </c>
      <c r="J199" s="15">
        <v>126</v>
      </c>
      <c r="K199" s="15">
        <v>399</v>
      </c>
      <c r="L199" s="16">
        <f t="shared" ref="L199:L205" si="89">J199*H199</f>
        <v>252</v>
      </c>
      <c r="M199" s="29">
        <f t="shared" ref="M199:M205" si="90">K199*H199</f>
        <v>798</v>
      </c>
      <c r="N199" s="75">
        <f t="shared" si="88"/>
        <v>1050</v>
      </c>
      <c r="O199" s="1"/>
      <c r="P199" s="1"/>
      <c r="Q199" s="7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</row>
    <row r="200" spans="1:32" ht="15.75" x14ac:dyDescent="0.25">
      <c r="B200" s="74">
        <f>IF(I200&lt;&gt;"",1+MAX(A$1:$B199),"")</f>
        <v>104</v>
      </c>
      <c r="C200" s="9" t="s">
        <v>214</v>
      </c>
      <c r="D200" s="9"/>
      <c r="E200" s="10" t="s">
        <v>151</v>
      </c>
      <c r="F200" s="13">
        <v>2</v>
      </c>
      <c r="G200" s="26">
        <v>0</v>
      </c>
      <c r="H200" s="27">
        <f t="shared" si="87"/>
        <v>2</v>
      </c>
      <c r="I200" s="14" t="s">
        <v>29</v>
      </c>
      <c r="J200" s="15">
        <v>32.4</v>
      </c>
      <c r="K200" s="15">
        <v>102.6</v>
      </c>
      <c r="L200" s="16">
        <f t="shared" si="89"/>
        <v>64.8</v>
      </c>
      <c r="M200" s="29">
        <f t="shared" si="90"/>
        <v>205.2</v>
      </c>
      <c r="N200" s="75">
        <f t="shared" si="88"/>
        <v>270</v>
      </c>
      <c r="O200" s="1"/>
      <c r="P200" s="1"/>
      <c r="Q200" s="7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</row>
    <row r="201" spans="1:32" ht="15.75" x14ac:dyDescent="0.25">
      <c r="B201" s="74">
        <f>IF(I201&lt;&gt;"",1+MAX(A$1:$B200),"")</f>
        <v>105</v>
      </c>
      <c r="C201" s="9" t="s">
        <v>214</v>
      </c>
      <c r="D201" s="9"/>
      <c r="E201" s="10" t="s">
        <v>152</v>
      </c>
      <c r="F201" s="13">
        <v>2</v>
      </c>
      <c r="G201" s="26">
        <v>0</v>
      </c>
      <c r="H201" s="27">
        <f t="shared" ref="H201:H205" si="91">(1+G201)*F201</f>
        <v>2</v>
      </c>
      <c r="I201" s="14" t="s">
        <v>29</v>
      </c>
      <c r="J201" s="15">
        <v>39.6</v>
      </c>
      <c r="K201" s="15">
        <v>125.4</v>
      </c>
      <c r="L201" s="16">
        <f t="shared" si="89"/>
        <v>79.2</v>
      </c>
      <c r="M201" s="29">
        <f t="shared" si="90"/>
        <v>250.8</v>
      </c>
      <c r="N201" s="75">
        <f t="shared" ref="N201:N205" si="92">M201+L201</f>
        <v>330</v>
      </c>
      <c r="O201" s="1"/>
      <c r="P201" s="1"/>
      <c r="Q201" s="7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</row>
    <row r="202" spans="1:32" ht="15.75" x14ac:dyDescent="0.25">
      <c r="B202" s="74">
        <f>IF(I202&lt;&gt;"",1+MAX(A$1:$B201),"")</f>
        <v>106</v>
      </c>
      <c r="C202" s="9" t="s">
        <v>214</v>
      </c>
      <c r="D202" s="9"/>
      <c r="E202" s="10" t="s">
        <v>153</v>
      </c>
      <c r="F202" s="13">
        <v>6</v>
      </c>
      <c r="G202" s="26">
        <v>0</v>
      </c>
      <c r="H202" s="27">
        <f t="shared" si="91"/>
        <v>6</v>
      </c>
      <c r="I202" s="14" t="s">
        <v>29</v>
      </c>
      <c r="J202" s="15">
        <v>26.4</v>
      </c>
      <c r="K202" s="15">
        <v>83.6</v>
      </c>
      <c r="L202" s="16">
        <f t="shared" si="89"/>
        <v>158.39999999999998</v>
      </c>
      <c r="M202" s="29">
        <f t="shared" si="90"/>
        <v>501.59999999999997</v>
      </c>
      <c r="N202" s="75">
        <f t="shared" si="92"/>
        <v>660</v>
      </c>
      <c r="O202" s="1"/>
      <c r="P202" s="1"/>
      <c r="Q202" s="7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</row>
    <row r="203" spans="1:32" ht="15.75" x14ac:dyDescent="0.25">
      <c r="B203" s="74">
        <f>IF(I203&lt;&gt;"",1+MAX(A$1:$B202),"")</f>
        <v>107</v>
      </c>
      <c r="C203" s="9" t="s">
        <v>214</v>
      </c>
      <c r="D203" s="9"/>
      <c r="E203" s="10" t="s">
        <v>154</v>
      </c>
      <c r="F203" s="13">
        <v>2</v>
      </c>
      <c r="G203" s="26">
        <v>0</v>
      </c>
      <c r="H203" s="27">
        <f t="shared" si="91"/>
        <v>2</v>
      </c>
      <c r="I203" s="14" t="s">
        <v>29</v>
      </c>
      <c r="J203" s="15">
        <v>37.199999999999996</v>
      </c>
      <c r="K203" s="15">
        <v>117.80000000000001</v>
      </c>
      <c r="L203" s="16">
        <f t="shared" si="89"/>
        <v>74.399999999999991</v>
      </c>
      <c r="M203" s="29">
        <f t="shared" si="90"/>
        <v>235.60000000000002</v>
      </c>
      <c r="N203" s="75">
        <f t="shared" si="92"/>
        <v>310</v>
      </c>
      <c r="O203" s="1"/>
      <c r="P203" s="1"/>
      <c r="Q203" s="7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</row>
    <row r="204" spans="1:32" ht="15.75" x14ac:dyDescent="0.25">
      <c r="B204" s="74">
        <f>IF(I204&lt;&gt;"",1+MAX(A$1:$B203),"")</f>
        <v>108</v>
      </c>
      <c r="C204" s="9" t="s">
        <v>214</v>
      </c>
      <c r="D204" s="9"/>
      <c r="E204" s="10" t="s">
        <v>155</v>
      </c>
      <c r="F204" s="13">
        <v>1</v>
      </c>
      <c r="G204" s="26">
        <v>0</v>
      </c>
      <c r="H204" s="27">
        <f t="shared" si="91"/>
        <v>1</v>
      </c>
      <c r="I204" s="14" t="s">
        <v>29</v>
      </c>
      <c r="J204" s="15">
        <v>60</v>
      </c>
      <c r="K204" s="15">
        <v>190</v>
      </c>
      <c r="L204" s="16">
        <f t="shared" si="89"/>
        <v>60</v>
      </c>
      <c r="M204" s="29">
        <f t="shared" si="90"/>
        <v>190</v>
      </c>
      <c r="N204" s="75">
        <f t="shared" si="92"/>
        <v>250</v>
      </c>
      <c r="O204" s="1"/>
      <c r="P204" s="1"/>
      <c r="Q204" s="7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</row>
    <row r="205" spans="1:32" ht="15.75" x14ac:dyDescent="0.25">
      <c r="B205" s="74">
        <f>IF(I205&lt;&gt;"",1+MAX(A$1:$B204),"")</f>
        <v>109</v>
      </c>
      <c r="C205" s="9" t="s">
        <v>214</v>
      </c>
      <c r="D205" s="9"/>
      <c r="E205" s="10" t="s">
        <v>156</v>
      </c>
      <c r="F205" s="13">
        <v>4</v>
      </c>
      <c r="G205" s="26">
        <v>0</v>
      </c>
      <c r="H205" s="27">
        <f t="shared" si="91"/>
        <v>4</v>
      </c>
      <c r="I205" s="14" t="s">
        <v>29</v>
      </c>
      <c r="J205" s="15">
        <v>26.4</v>
      </c>
      <c r="K205" s="15">
        <v>83.6</v>
      </c>
      <c r="L205" s="16">
        <f t="shared" si="89"/>
        <v>105.6</v>
      </c>
      <c r="M205" s="29">
        <f t="shared" si="90"/>
        <v>334.4</v>
      </c>
      <c r="N205" s="75">
        <f t="shared" si="92"/>
        <v>440</v>
      </c>
      <c r="O205" s="1"/>
      <c r="P205" s="1"/>
      <c r="Q205" s="7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</row>
    <row r="206" spans="1:32" ht="15.75" x14ac:dyDescent="0.25">
      <c r="B206" s="74" t="str">
        <f>IF(I206&lt;&gt;"",1+MAX(A$1:$B205),"")</f>
        <v/>
      </c>
      <c r="C206" s="9"/>
      <c r="D206" s="9"/>
      <c r="E206" s="10"/>
      <c r="F206" s="13"/>
      <c r="G206" s="26"/>
      <c r="H206" s="27"/>
      <c r="I206" s="14"/>
      <c r="J206" s="15" t="s">
        <v>28</v>
      </c>
      <c r="K206" s="15" t="s">
        <v>28</v>
      </c>
      <c r="L206" s="16"/>
      <c r="M206" s="29"/>
      <c r="N206" s="75"/>
      <c r="O206" s="1"/>
      <c r="P206" s="1"/>
      <c r="Q206" s="7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</row>
    <row r="207" spans="1:32" ht="15.75" x14ac:dyDescent="0.25">
      <c r="A207" s="28"/>
      <c r="B207" s="74" t="str">
        <f>IF(I207&lt;&gt;"",1+MAX(A$1:$B206),"")</f>
        <v/>
      </c>
      <c r="C207" s="8"/>
      <c r="D207" s="14"/>
      <c r="E207" s="18" t="s">
        <v>2</v>
      </c>
      <c r="F207" s="17"/>
      <c r="G207" s="17"/>
      <c r="H207" s="13"/>
      <c r="I207" s="17"/>
      <c r="J207" s="20" t="s">
        <v>28</v>
      </c>
      <c r="K207" s="20" t="s">
        <v>28</v>
      </c>
      <c r="L207" s="76">
        <f>SUM(L194:L206)</f>
        <v>918.43200000000002</v>
      </c>
      <c r="M207" s="76">
        <f>SUM(M194:M206)</f>
        <v>2908.3679999999999</v>
      </c>
      <c r="N207" s="76">
        <f>SUM(N194:N206)</f>
        <v>3826.8</v>
      </c>
      <c r="O207" s="30"/>
      <c r="P207" s="30"/>
      <c r="Q207" s="7"/>
      <c r="R207" s="30"/>
      <c r="S207" s="30"/>
      <c r="T207" s="30"/>
      <c r="U207" s="30"/>
      <c r="V207" s="30"/>
      <c r="W207" s="30"/>
      <c r="X207" s="30"/>
      <c r="Y207" s="30"/>
      <c r="Z207" s="30"/>
      <c r="AA207" s="30"/>
      <c r="AB207" s="30"/>
      <c r="AC207" s="30"/>
      <c r="AD207" s="30"/>
      <c r="AE207" s="30"/>
      <c r="AF207" s="30"/>
    </row>
    <row r="208" spans="1:32" ht="15.75" x14ac:dyDescent="0.25">
      <c r="B208" s="77" t="str">
        <f>IF(I208&lt;&gt;"",1+MAX(A$1:$B207),"")</f>
        <v/>
      </c>
      <c r="C208" s="31"/>
      <c r="D208" s="70">
        <v>11</v>
      </c>
      <c r="E208" s="71" t="s">
        <v>238</v>
      </c>
      <c r="F208" s="21"/>
      <c r="G208" s="21"/>
      <c r="H208" s="21"/>
      <c r="I208" s="21"/>
      <c r="J208" s="21" t="s">
        <v>28</v>
      </c>
      <c r="K208" s="21" t="s">
        <v>28</v>
      </c>
      <c r="L208" s="21"/>
      <c r="M208" s="21"/>
      <c r="N208" s="78"/>
      <c r="O208" s="22"/>
      <c r="P208" s="1"/>
      <c r="Q208" s="7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</row>
    <row r="209" spans="2:32" ht="15.75" x14ac:dyDescent="0.25">
      <c r="B209" s="74" t="str">
        <f>IF(I209&lt;&gt;"",1+MAX(A$1:$B208),"")</f>
        <v/>
      </c>
      <c r="C209" s="23"/>
      <c r="D209" s="9"/>
      <c r="E209" s="10"/>
      <c r="F209" s="11"/>
      <c r="G209" s="12"/>
      <c r="H209" s="13"/>
      <c r="I209" s="14"/>
      <c r="J209" s="15" t="s">
        <v>28</v>
      </c>
      <c r="K209" s="15" t="s">
        <v>28</v>
      </c>
      <c r="L209" s="16"/>
      <c r="M209" s="16"/>
      <c r="N209" s="75"/>
      <c r="O209" s="94"/>
      <c r="P209" s="1"/>
      <c r="Q209" s="7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</row>
    <row r="210" spans="2:32" ht="15.75" x14ac:dyDescent="0.25">
      <c r="B210" s="74" t="str">
        <f>IF(I210&lt;&gt;"",1+MAX(A$1:$B209),"")</f>
        <v/>
      </c>
      <c r="C210" s="23"/>
      <c r="D210" s="25"/>
      <c r="E210" s="96" t="s">
        <v>126</v>
      </c>
      <c r="F210" s="13"/>
      <c r="G210" s="26"/>
      <c r="H210" s="27"/>
      <c r="I210" s="24"/>
      <c r="J210" s="15" t="s">
        <v>28</v>
      </c>
      <c r="K210" s="15" t="s">
        <v>28</v>
      </c>
      <c r="L210" s="15"/>
      <c r="M210" s="15"/>
      <c r="N210" s="79"/>
      <c r="O210" s="22"/>
      <c r="P210" s="22"/>
      <c r="Q210" s="7"/>
      <c r="R210" s="22"/>
      <c r="S210" s="22"/>
      <c r="T210" s="22"/>
      <c r="U210" s="22"/>
      <c r="V210" s="22"/>
      <c r="W210" s="22"/>
      <c r="X210" s="22"/>
      <c r="Y210" s="22"/>
      <c r="Z210" s="22"/>
      <c r="AA210" s="22"/>
      <c r="AB210" s="22"/>
      <c r="AC210" s="22"/>
      <c r="AD210" s="22"/>
      <c r="AE210" s="22"/>
      <c r="AF210" s="22"/>
    </row>
    <row r="211" spans="2:32" ht="15.75" x14ac:dyDescent="0.25">
      <c r="B211" s="74">
        <f>IF(I211&lt;&gt;"",1+MAX(A$1:$B210),"")</f>
        <v>110</v>
      </c>
      <c r="C211" s="9" t="s">
        <v>215</v>
      </c>
      <c r="D211" s="9"/>
      <c r="E211" s="10" t="s">
        <v>127</v>
      </c>
      <c r="F211" s="13">
        <v>2</v>
      </c>
      <c r="G211" s="26">
        <v>0</v>
      </c>
      <c r="H211" s="27">
        <f t="shared" ref="H211" si="93">(1+G211)*F211</f>
        <v>2</v>
      </c>
      <c r="I211" s="14" t="s">
        <v>29</v>
      </c>
      <c r="J211" s="15">
        <v>126</v>
      </c>
      <c r="K211" s="15">
        <v>399</v>
      </c>
      <c r="L211" s="16">
        <f t="shared" ref="L211:L238" si="94">J211*H211</f>
        <v>252</v>
      </c>
      <c r="M211" s="29">
        <f t="shared" ref="M211:M238" si="95">K211*H211</f>
        <v>798</v>
      </c>
      <c r="N211" s="75">
        <f t="shared" ref="N211" si="96">M211+L211</f>
        <v>1050</v>
      </c>
      <c r="O211" s="1"/>
      <c r="P211" s="1"/>
      <c r="Q211" s="7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</row>
    <row r="212" spans="2:32" ht="15.75" x14ac:dyDescent="0.25">
      <c r="B212" s="74">
        <f>IF(I212&lt;&gt;"",1+MAX(A$1:$B211),"")</f>
        <v>111</v>
      </c>
      <c r="C212" s="9" t="s">
        <v>215</v>
      </c>
      <c r="D212" s="9"/>
      <c r="E212" s="10" t="s">
        <v>128</v>
      </c>
      <c r="F212" s="13">
        <v>1</v>
      </c>
      <c r="G212" s="26">
        <v>0</v>
      </c>
      <c r="H212" s="27">
        <f t="shared" ref="H212" si="97">(1+G212)*F212</f>
        <v>1</v>
      </c>
      <c r="I212" s="14" t="s">
        <v>29</v>
      </c>
      <c r="J212" s="15">
        <v>150</v>
      </c>
      <c r="K212" s="15">
        <v>475</v>
      </c>
      <c r="L212" s="16">
        <f t="shared" si="94"/>
        <v>150</v>
      </c>
      <c r="M212" s="29">
        <f t="shared" si="95"/>
        <v>475</v>
      </c>
      <c r="N212" s="75">
        <f t="shared" ref="N212" si="98">M212+L212</f>
        <v>625</v>
      </c>
      <c r="O212" s="1"/>
      <c r="P212" s="1"/>
      <c r="Q212" s="7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</row>
    <row r="213" spans="2:32" ht="15.75" x14ac:dyDescent="0.25">
      <c r="B213" s="74">
        <f>IF(I213&lt;&gt;"",1+MAX(A$1:$B212),"")</f>
        <v>112</v>
      </c>
      <c r="C213" s="9" t="s">
        <v>215</v>
      </c>
      <c r="D213" s="9"/>
      <c r="E213" s="10" t="s">
        <v>223</v>
      </c>
      <c r="F213" s="13">
        <v>1</v>
      </c>
      <c r="G213" s="26">
        <v>0</v>
      </c>
      <c r="H213" s="27">
        <f t="shared" ref="H213" si="99">(1+G213)*F213</f>
        <v>1</v>
      </c>
      <c r="I213" s="14" t="s">
        <v>29</v>
      </c>
      <c r="J213" s="15">
        <v>186</v>
      </c>
      <c r="K213" s="15">
        <v>589</v>
      </c>
      <c r="L213" s="16">
        <f t="shared" si="94"/>
        <v>186</v>
      </c>
      <c r="M213" s="29">
        <f t="shared" si="95"/>
        <v>589</v>
      </c>
      <c r="N213" s="75">
        <f t="shared" ref="N213" si="100">M213+L213</f>
        <v>775</v>
      </c>
      <c r="O213" s="1"/>
      <c r="P213" s="1"/>
      <c r="Q213" s="7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</row>
    <row r="214" spans="2:32" ht="15.75" x14ac:dyDescent="0.25">
      <c r="B214" s="74">
        <f>IF(I214&lt;&gt;"",1+MAX(A$1:$B213),"")</f>
        <v>113</v>
      </c>
      <c r="C214" s="9" t="s">
        <v>215</v>
      </c>
      <c r="D214" s="9"/>
      <c r="E214" s="10" t="s">
        <v>129</v>
      </c>
      <c r="F214" s="13">
        <v>3</v>
      </c>
      <c r="G214" s="26">
        <v>0</v>
      </c>
      <c r="H214" s="27">
        <f t="shared" ref="H214" si="101">(1+G214)*F214</f>
        <v>3</v>
      </c>
      <c r="I214" s="14" t="s">
        <v>29</v>
      </c>
      <c r="J214" s="15">
        <v>204</v>
      </c>
      <c r="K214" s="15">
        <v>646</v>
      </c>
      <c r="L214" s="16">
        <f t="shared" si="94"/>
        <v>612</v>
      </c>
      <c r="M214" s="29">
        <f t="shared" si="95"/>
        <v>1938</v>
      </c>
      <c r="N214" s="75">
        <f t="shared" ref="N214" si="102">M214+L214</f>
        <v>2550</v>
      </c>
      <c r="O214" s="1"/>
      <c r="P214" s="1"/>
      <c r="Q214" s="7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</row>
    <row r="215" spans="2:32" ht="15.75" x14ac:dyDescent="0.25">
      <c r="B215" s="74">
        <f>IF(I215&lt;&gt;"",1+MAX(A$1:$B214),"")</f>
        <v>114</v>
      </c>
      <c r="C215" s="9" t="s">
        <v>215</v>
      </c>
      <c r="D215" s="9"/>
      <c r="E215" s="10" t="s">
        <v>130</v>
      </c>
      <c r="F215" s="13">
        <v>2</v>
      </c>
      <c r="G215" s="26">
        <v>0</v>
      </c>
      <c r="H215" s="27">
        <f t="shared" ref="H215:H238" si="103">(1+G215)*F215</f>
        <v>2</v>
      </c>
      <c r="I215" s="14" t="s">
        <v>29</v>
      </c>
      <c r="J215" s="15">
        <v>156</v>
      </c>
      <c r="K215" s="15">
        <v>494</v>
      </c>
      <c r="L215" s="16">
        <f t="shared" si="94"/>
        <v>312</v>
      </c>
      <c r="M215" s="29">
        <f t="shared" si="95"/>
        <v>988</v>
      </c>
      <c r="N215" s="75">
        <f t="shared" ref="N215:N238" si="104">M215+L215</f>
        <v>1300</v>
      </c>
      <c r="O215" s="1"/>
      <c r="P215" s="1"/>
      <c r="Q215" s="7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</row>
    <row r="216" spans="2:32" ht="15.75" x14ac:dyDescent="0.25">
      <c r="B216" s="74">
        <f>IF(I216&lt;&gt;"",1+MAX(A$1:$B215),"")</f>
        <v>115</v>
      </c>
      <c r="C216" s="9" t="s">
        <v>215</v>
      </c>
      <c r="D216" s="9"/>
      <c r="E216" s="10" t="s">
        <v>131</v>
      </c>
      <c r="F216" s="13">
        <v>1</v>
      </c>
      <c r="G216" s="26">
        <v>0</v>
      </c>
      <c r="H216" s="27">
        <f t="shared" si="103"/>
        <v>1</v>
      </c>
      <c r="I216" s="14" t="s">
        <v>29</v>
      </c>
      <c r="J216" s="15">
        <v>330</v>
      </c>
      <c r="K216" s="15">
        <v>1045</v>
      </c>
      <c r="L216" s="16">
        <f t="shared" si="94"/>
        <v>330</v>
      </c>
      <c r="M216" s="29">
        <f t="shared" si="95"/>
        <v>1045</v>
      </c>
      <c r="N216" s="75">
        <f t="shared" si="104"/>
        <v>1375</v>
      </c>
      <c r="O216" s="1"/>
      <c r="P216" s="1"/>
      <c r="Q216" s="7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</row>
    <row r="217" spans="2:32" ht="15.75" x14ac:dyDescent="0.25">
      <c r="B217" s="74">
        <f>IF(I217&lt;&gt;"",1+MAX(A$1:$B216),"")</f>
        <v>116</v>
      </c>
      <c r="C217" s="9" t="s">
        <v>215</v>
      </c>
      <c r="D217" s="9"/>
      <c r="E217" s="10" t="s">
        <v>224</v>
      </c>
      <c r="F217" s="13">
        <v>1</v>
      </c>
      <c r="G217" s="26">
        <v>0</v>
      </c>
      <c r="H217" s="27">
        <f t="shared" si="103"/>
        <v>1</v>
      </c>
      <c r="I217" s="14" t="s">
        <v>29</v>
      </c>
      <c r="J217" s="15">
        <v>102</v>
      </c>
      <c r="K217" s="15">
        <v>323</v>
      </c>
      <c r="L217" s="16">
        <f t="shared" si="94"/>
        <v>102</v>
      </c>
      <c r="M217" s="29">
        <f t="shared" si="95"/>
        <v>323</v>
      </c>
      <c r="N217" s="75">
        <f t="shared" si="104"/>
        <v>425</v>
      </c>
      <c r="O217" s="1"/>
      <c r="P217" s="1"/>
      <c r="Q217" s="7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</row>
    <row r="218" spans="2:32" ht="15.75" x14ac:dyDescent="0.25">
      <c r="B218" s="74">
        <f>IF(I218&lt;&gt;"",1+MAX(A$1:$B217),"")</f>
        <v>117</v>
      </c>
      <c r="C218" s="9" t="s">
        <v>215</v>
      </c>
      <c r="D218" s="9"/>
      <c r="E218" s="10" t="s">
        <v>225</v>
      </c>
      <c r="F218" s="13">
        <v>2</v>
      </c>
      <c r="G218" s="26">
        <v>0</v>
      </c>
      <c r="H218" s="27">
        <f t="shared" si="103"/>
        <v>2</v>
      </c>
      <c r="I218" s="14" t="s">
        <v>29</v>
      </c>
      <c r="J218" s="15">
        <v>102</v>
      </c>
      <c r="K218" s="15">
        <v>323</v>
      </c>
      <c r="L218" s="16">
        <f t="shared" si="94"/>
        <v>204</v>
      </c>
      <c r="M218" s="29">
        <f t="shared" si="95"/>
        <v>646</v>
      </c>
      <c r="N218" s="75">
        <f t="shared" si="104"/>
        <v>850</v>
      </c>
      <c r="O218" s="1"/>
      <c r="P218" s="1"/>
      <c r="Q218" s="7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</row>
    <row r="219" spans="2:32" ht="15.75" x14ac:dyDescent="0.25">
      <c r="B219" s="74">
        <f>IF(I219&lt;&gt;"",1+MAX(A$1:$B218),"")</f>
        <v>118</v>
      </c>
      <c r="C219" s="9" t="s">
        <v>215</v>
      </c>
      <c r="D219" s="9"/>
      <c r="E219" s="10" t="s">
        <v>132</v>
      </c>
      <c r="F219" s="13">
        <v>1</v>
      </c>
      <c r="G219" s="26">
        <v>0</v>
      </c>
      <c r="H219" s="27">
        <f t="shared" si="103"/>
        <v>1</v>
      </c>
      <c r="I219" s="14" t="s">
        <v>29</v>
      </c>
      <c r="J219" s="15">
        <v>210</v>
      </c>
      <c r="K219" s="15">
        <v>665</v>
      </c>
      <c r="L219" s="16">
        <f t="shared" si="94"/>
        <v>210</v>
      </c>
      <c r="M219" s="29">
        <f t="shared" si="95"/>
        <v>665</v>
      </c>
      <c r="N219" s="75">
        <f t="shared" si="104"/>
        <v>875</v>
      </c>
      <c r="O219" s="1"/>
      <c r="P219" s="1"/>
      <c r="Q219" s="7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</row>
    <row r="220" spans="2:32" ht="15.75" x14ac:dyDescent="0.25">
      <c r="B220" s="74">
        <f>IF(I220&lt;&gt;"",1+MAX(A$1:$B219),"")</f>
        <v>119</v>
      </c>
      <c r="C220" s="9" t="s">
        <v>215</v>
      </c>
      <c r="D220" s="9"/>
      <c r="E220" s="10" t="s">
        <v>133</v>
      </c>
      <c r="F220" s="13">
        <v>1</v>
      </c>
      <c r="G220" s="26">
        <v>0</v>
      </c>
      <c r="H220" s="27">
        <f t="shared" si="103"/>
        <v>1</v>
      </c>
      <c r="I220" s="14" t="s">
        <v>29</v>
      </c>
      <c r="J220" s="15">
        <v>162</v>
      </c>
      <c r="K220" s="15">
        <v>513</v>
      </c>
      <c r="L220" s="16">
        <f t="shared" si="94"/>
        <v>162</v>
      </c>
      <c r="M220" s="29">
        <f t="shared" si="95"/>
        <v>513</v>
      </c>
      <c r="N220" s="75">
        <f t="shared" si="104"/>
        <v>675</v>
      </c>
      <c r="O220" s="1"/>
      <c r="P220" s="1"/>
      <c r="Q220" s="7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</row>
    <row r="221" spans="2:32" ht="15.75" x14ac:dyDescent="0.25">
      <c r="B221" s="74">
        <f>IF(I221&lt;&gt;"",1+MAX(A$1:$B220),"")</f>
        <v>120</v>
      </c>
      <c r="C221" s="9" t="s">
        <v>215</v>
      </c>
      <c r="D221" s="9"/>
      <c r="E221" s="10" t="s">
        <v>134</v>
      </c>
      <c r="F221" s="13">
        <v>2</v>
      </c>
      <c r="G221" s="26">
        <v>0</v>
      </c>
      <c r="H221" s="27">
        <f t="shared" si="103"/>
        <v>2</v>
      </c>
      <c r="I221" s="14" t="s">
        <v>29</v>
      </c>
      <c r="J221" s="15">
        <v>204</v>
      </c>
      <c r="K221" s="15">
        <v>646</v>
      </c>
      <c r="L221" s="16">
        <f t="shared" si="94"/>
        <v>408</v>
      </c>
      <c r="M221" s="29">
        <f t="shared" si="95"/>
        <v>1292</v>
      </c>
      <c r="N221" s="75">
        <f t="shared" si="104"/>
        <v>1700</v>
      </c>
      <c r="O221" s="1"/>
      <c r="P221" s="1"/>
      <c r="Q221" s="7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</row>
    <row r="222" spans="2:32" ht="15.75" x14ac:dyDescent="0.25">
      <c r="B222" s="74">
        <f>IF(I222&lt;&gt;"",1+MAX(A$1:$B221),"")</f>
        <v>121</v>
      </c>
      <c r="C222" s="9" t="s">
        <v>215</v>
      </c>
      <c r="D222" s="9"/>
      <c r="E222" s="10" t="s">
        <v>135</v>
      </c>
      <c r="F222" s="13">
        <v>1</v>
      </c>
      <c r="G222" s="26">
        <v>0</v>
      </c>
      <c r="H222" s="27">
        <f t="shared" si="103"/>
        <v>1</v>
      </c>
      <c r="I222" s="14" t="s">
        <v>29</v>
      </c>
      <c r="J222" s="15">
        <v>204</v>
      </c>
      <c r="K222" s="15">
        <v>646</v>
      </c>
      <c r="L222" s="16">
        <f t="shared" si="94"/>
        <v>204</v>
      </c>
      <c r="M222" s="29">
        <f t="shared" si="95"/>
        <v>646</v>
      </c>
      <c r="N222" s="75">
        <f t="shared" si="104"/>
        <v>850</v>
      </c>
      <c r="O222" s="1"/>
      <c r="P222" s="1"/>
      <c r="Q222" s="7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</row>
    <row r="223" spans="2:32" ht="15.75" x14ac:dyDescent="0.25">
      <c r="B223" s="74">
        <f>IF(I223&lt;&gt;"",1+MAX(A$1:$B222),"")</f>
        <v>122</v>
      </c>
      <c r="C223" s="9" t="s">
        <v>215</v>
      </c>
      <c r="D223" s="9"/>
      <c r="E223" s="10" t="s">
        <v>226</v>
      </c>
      <c r="F223" s="13">
        <v>1</v>
      </c>
      <c r="G223" s="26">
        <v>0</v>
      </c>
      <c r="H223" s="27">
        <f t="shared" si="103"/>
        <v>1</v>
      </c>
      <c r="I223" s="14" t="s">
        <v>29</v>
      </c>
      <c r="J223" s="15">
        <v>288</v>
      </c>
      <c r="K223" s="15">
        <v>912</v>
      </c>
      <c r="L223" s="16">
        <f t="shared" si="94"/>
        <v>288</v>
      </c>
      <c r="M223" s="29">
        <f t="shared" si="95"/>
        <v>912</v>
      </c>
      <c r="N223" s="75">
        <f t="shared" si="104"/>
        <v>1200</v>
      </c>
      <c r="O223" s="1"/>
      <c r="P223" s="1"/>
      <c r="Q223" s="7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</row>
    <row r="224" spans="2:32" ht="15.75" x14ac:dyDescent="0.25">
      <c r="B224" s="74">
        <f>IF(I224&lt;&gt;"",1+MAX(A$1:$B223),"")</f>
        <v>123</v>
      </c>
      <c r="C224" s="9" t="s">
        <v>215</v>
      </c>
      <c r="D224" s="9"/>
      <c r="E224" s="10" t="s">
        <v>227</v>
      </c>
      <c r="F224" s="13">
        <v>1</v>
      </c>
      <c r="G224" s="26">
        <v>0</v>
      </c>
      <c r="H224" s="27">
        <f t="shared" si="103"/>
        <v>1</v>
      </c>
      <c r="I224" s="14" t="s">
        <v>29</v>
      </c>
      <c r="J224" s="15">
        <v>372</v>
      </c>
      <c r="K224" s="15">
        <v>1178</v>
      </c>
      <c r="L224" s="16">
        <f t="shared" si="94"/>
        <v>372</v>
      </c>
      <c r="M224" s="29">
        <f t="shared" si="95"/>
        <v>1178</v>
      </c>
      <c r="N224" s="75">
        <f t="shared" si="104"/>
        <v>1550</v>
      </c>
      <c r="O224" s="1"/>
      <c r="P224" s="1"/>
      <c r="Q224" s="7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</row>
    <row r="225" spans="1:32" ht="15.75" x14ac:dyDescent="0.25">
      <c r="B225" s="74">
        <f>IF(I225&lt;&gt;"",1+MAX(A$1:$B224),"")</f>
        <v>124</v>
      </c>
      <c r="C225" s="9" t="s">
        <v>215</v>
      </c>
      <c r="D225" s="9"/>
      <c r="E225" s="10" t="s">
        <v>136</v>
      </c>
      <c r="F225" s="13">
        <v>2</v>
      </c>
      <c r="G225" s="26">
        <v>0</v>
      </c>
      <c r="H225" s="27">
        <f t="shared" si="103"/>
        <v>2</v>
      </c>
      <c r="I225" s="14" t="s">
        <v>29</v>
      </c>
      <c r="J225" s="15">
        <v>396</v>
      </c>
      <c r="K225" s="15">
        <v>1254</v>
      </c>
      <c r="L225" s="16">
        <f t="shared" si="94"/>
        <v>792</v>
      </c>
      <c r="M225" s="29">
        <f t="shared" si="95"/>
        <v>2508</v>
      </c>
      <c r="N225" s="75">
        <f t="shared" si="104"/>
        <v>3300</v>
      </c>
      <c r="O225" s="1"/>
      <c r="P225" s="1"/>
      <c r="Q225" s="7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</row>
    <row r="226" spans="1:32" ht="15.75" x14ac:dyDescent="0.25">
      <c r="B226" s="74">
        <f>IF(I226&lt;&gt;"",1+MAX(A$1:$B225),"")</f>
        <v>125</v>
      </c>
      <c r="C226" s="9" t="s">
        <v>215</v>
      </c>
      <c r="D226" s="9"/>
      <c r="E226" s="10" t="s">
        <v>137</v>
      </c>
      <c r="F226" s="13">
        <v>1</v>
      </c>
      <c r="G226" s="26">
        <v>0</v>
      </c>
      <c r="H226" s="27">
        <f t="shared" si="103"/>
        <v>1</v>
      </c>
      <c r="I226" s="14" t="s">
        <v>29</v>
      </c>
      <c r="J226" s="15">
        <v>528</v>
      </c>
      <c r="K226" s="15">
        <v>1672</v>
      </c>
      <c r="L226" s="16">
        <f t="shared" si="94"/>
        <v>528</v>
      </c>
      <c r="M226" s="29">
        <f t="shared" si="95"/>
        <v>1672</v>
      </c>
      <c r="N226" s="75">
        <f t="shared" si="104"/>
        <v>2200</v>
      </c>
      <c r="O226" s="1"/>
      <c r="P226" s="1"/>
      <c r="Q226" s="7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</row>
    <row r="227" spans="1:32" ht="15.75" x14ac:dyDescent="0.25">
      <c r="B227" s="74">
        <f>IF(I227&lt;&gt;"",1+MAX(A$1:$B226),"")</f>
        <v>126</v>
      </c>
      <c r="C227" s="9" t="s">
        <v>215</v>
      </c>
      <c r="D227" s="9"/>
      <c r="E227" s="10" t="s">
        <v>138</v>
      </c>
      <c r="F227" s="13">
        <v>1</v>
      </c>
      <c r="G227" s="26">
        <v>0</v>
      </c>
      <c r="H227" s="27">
        <f t="shared" si="103"/>
        <v>1</v>
      </c>
      <c r="I227" s="14" t="s">
        <v>29</v>
      </c>
      <c r="J227" s="15">
        <v>540</v>
      </c>
      <c r="K227" s="15">
        <v>1710</v>
      </c>
      <c r="L227" s="16">
        <f t="shared" si="94"/>
        <v>540</v>
      </c>
      <c r="M227" s="29">
        <f t="shared" si="95"/>
        <v>1710</v>
      </c>
      <c r="N227" s="75">
        <f t="shared" si="104"/>
        <v>2250</v>
      </c>
      <c r="O227" s="1"/>
      <c r="P227" s="1"/>
      <c r="Q227" s="7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</row>
    <row r="228" spans="1:32" ht="15.75" x14ac:dyDescent="0.25">
      <c r="B228" s="74">
        <f>IF(I228&lt;&gt;"",1+MAX(A$1:$B227),"")</f>
        <v>127</v>
      </c>
      <c r="C228" s="9" t="s">
        <v>215</v>
      </c>
      <c r="D228" s="9"/>
      <c r="E228" s="10" t="s">
        <v>228</v>
      </c>
      <c r="F228" s="13">
        <v>1</v>
      </c>
      <c r="G228" s="26">
        <v>0</v>
      </c>
      <c r="H228" s="27">
        <f t="shared" si="103"/>
        <v>1</v>
      </c>
      <c r="I228" s="14" t="s">
        <v>29</v>
      </c>
      <c r="J228" s="15">
        <v>324</v>
      </c>
      <c r="K228" s="15">
        <v>1026</v>
      </c>
      <c r="L228" s="16">
        <f t="shared" si="94"/>
        <v>324</v>
      </c>
      <c r="M228" s="29">
        <f t="shared" si="95"/>
        <v>1026</v>
      </c>
      <c r="N228" s="75">
        <f t="shared" si="104"/>
        <v>1350</v>
      </c>
      <c r="O228" s="1"/>
      <c r="P228" s="1"/>
      <c r="Q228" s="7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</row>
    <row r="229" spans="1:32" ht="15.75" x14ac:dyDescent="0.25">
      <c r="B229" s="74">
        <f>IF(I229&lt;&gt;"",1+MAX(A$1:$B228),"")</f>
        <v>128</v>
      </c>
      <c r="C229" s="9" t="s">
        <v>215</v>
      </c>
      <c r="D229" s="9"/>
      <c r="E229" s="10" t="s">
        <v>229</v>
      </c>
      <c r="F229" s="13">
        <v>1</v>
      </c>
      <c r="G229" s="26">
        <v>0</v>
      </c>
      <c r="H229" s="27">
        <f t="shared" si="103"/>
        <v>1</v>
      </c>
      <c r="I229" s="14" t="s">
        <v>29</v>
      </c>
      <c r="J229" s="15">
        <v>288</v>
      </c>
      <c r="K229" s="15">
        <v>912</v>
      </c>
      <c r="L229" s="16">
        <f t="shared" si="94"/>
        <v>288</v>
      </c>
      <c r="M229" s="29">
        <f t="shared" si="95"/>
        <v>912</v>
      </c>
      <c r="N229" s="75">
        <f t="shared" si="104"/>
        <v>1200</v>
      </c>
      <c r="O229" s="1"/>
      <c r="P229" s="1"/>
      <c r="Q229" s="7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</row>
    <row r="230" spans="1:32" ht="15.75" x14ac:dyDescent="0.25">
      <c r="B230" s="74">
        <f>IF(I230&lt;&gt;"",1+MAX(A$1:$B229),"")</f>
        <v>129</v>
      </c>
      <c r="C230" s="9" t="s">
        <v>215</v>
      </c>
      <c r="D230" s="9"/>
      <c r="E230" s="10" t="s">
        <v>139</v>
      </c>
      <c r="F230" s="13">
        <v>2</v>
      </c>
      <c r="G230" s="26">
        <v>0</v>
      </c>
      <c r="H230" s="27">
        <f t="shared" si="103"/>
        <v>2</v>
      </c>
      <c r="I230" s="14" t="s">
        <v>29</v>
      </c>
      <c r="J230" s="15">
        <v>288</v>
      </c>
      <c r="K230" s="15">
        <v>912</v>
      </c>
      <c r="L230" s="16">
        <f t="shared" si="94"/>
        <v>576</v>
      </c>
      <c r="M230" s="29">
        <f t="shared" si="95"/>
        <v>1824</v>
      </c>
      <c r="N230" s="75">
        <f t="shared" si="104"/>
        <v>2400</v>
      </c>
      <c r="O230" s="1"/>
      <c r="P230" s="1"/>
      <c r="Q230" s="7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</row>
    <row r="231" spans="1:32" ht="15.75" x14ac:dyDescent="0.25">
      <c r="B231" s="74">
        <f>IF(I231&lt;&gt;"",1+MAX(A$1:$B230),"")</f>
        <v>130</v>
      </c>
      <c r="C231" s="9" t="s">
        <v>215</v>
      </c>
      <c r="D231" s="9"/>
      <c r="E231" s="10" t="s">
        <v>140</v>
      </c>
      <c r="F231" s="13">
        <v>1</v>
      </c>
      <c r="G231" s="26">
        <v>0</v>
      </c>
      <c r="H231" s="27">
        <f t="shared" si="103"/>
        <v>1</v>
      </c>
      <c r="I231" s="14" t="s">
        <v>29</v>
      </c>
      <c r="J231" s="15">
        <v>204</v>
      </c>
      <c r="K231" s="15">
        <v>646</v>
      </c>
      <c r="L231" s="16">
        <f t="shared" si="94"/>
        <v>204</v>
      </c>
      <c r="M231" s="29">
        <f t="shared" si="95"/>
        <v>646</v>
      </c>
      <c r="N231" s="75">
        <f t="shared" si="104"/>
        <v>850</v>
      </c>
      <c r="O231" s="1"/>
      <c r="P231" s="1"/>
      <c r="Q231" s="7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</row>
    <row r="232" spans="1:32" ht="15.75" x14ac:dyDescent="0.25">
      <c r="B232" s="74">
        <f>IF(I232&lt;&gt;"",1+MAX(A$1:$B231),"")</f>
        <v>131</v>
      </c>
      <c r="C232" s="9" t="s">
        <v>215</v>
      </c>
      <c r="D232" s="9"/>
      <c r="E232" s="10" t="s">
        <v>141</v>
      </c>
      <c r="F232" s="13">
        <v>1</v>
      </c>
      <c r="G232" s="26">
        <v>0</v>
      </c>
      <c r="H232" s="27">
        <f t="shared" si="103"/>
        <v>1</v>
      </c>
      <c r="I232" s="14" t="s">
        <v>29</v>
      </c>
      <c r="J232" s="15">
        <v>204</v>
      </c>
      <c r="K232" s="15">
        <v>646</v>
      </c>
      <c r="L232" s="16">
        <f t="shared" si="94"/>
        <v>204</v>
      </c>
      <c r="M232" s="29">
        <f t="shared" si="95"/>
        <v>646</v>
      </c>
      <c r="N232" s="75">
        <f t="shared" si="104"/>
        <v>850</v>
      </c>
      <c r="O232" s="1"/>
      <c r="P232" s="1"/>
      <c r="Q232" s="7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</row>
    <row r="233" spans="1:32" ht="15.75" x14ac:dyDescent="0.25">
      <c r="B233" s="74">
        <f>IF(I233&lt;&gt;"",1+MAX(A$1:$B232),"")</f>
        <v>132</v>
      </c>
      <c r="C233" s="9" t="s">
        <v>215</v>
      </c>
      <c r="D233" s="9"/>
      <c r="E233" s="10" t="s">
        <v>142</v>
      </c>
      <c r="F233" s="13">
        <v>1</v>
      </c>
      <c r="G233" s="26">
        <v>0</v>
      </c>
      <c r="H233" s="27">
        <f t="shared" si="103"/>
        <v>1</v>
      </c>
      <c r="I233" s="14" t="s">
        <v>29</v>
      </c>
      <c r="J233" s="15">
        <v>222</v>
      </c>
      <c r="K233" s="15">
        <v>703</v>
      </c>
      <c r="L233" s="16">
        <f t="shared" si="94"/>
        <v>222</v>
      </c>
      <c r="M233" s="29">
        <f t="shared" si="95"/>
        <v>703</v>
      </c>
      <c r="N233" s="75">
        <f t="shared" si="104"/>
        <v>925</v>
      </c>
      <c r="O233" s="1"/>
      <c r="P233" s="1"/>
      <c r="Q233" s="7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</row>
    <row r="234" spans="1:32" ht="15.75" x14ac:dyDescent="0.25">
      <c r="B234" s="74">
        <f>IF(I234&lt;&gt;"",1+MAX(A$1:$B233),"")</f>
        <v>133</v>
      </c>
      <c r="C234" s="9" t="s">
        <v>215</v>
      </c>
      <c r="D234" s="9"/>
      <c r="E234" s="10" t="s">
        <v>143</v>
      </c>
      <c r="F234" s="13">
        <v>1</v>
      </c>
      <c r="G234" s="26">
        <v>0</v>
      </c>
      <c r="H234" s="27">
        <f t="shared" si="103"/>
        <v>1</v>
      </c>
      <c r="I234" s="14" t="s">
        <v>29</v>
      </c>
      <c r="J234" s="15">
        <v>300</v>
      </c>
      <c r="K234" s="15">
        <v>950</v>
      </c>
      <c r="L234" s="16">
        <f t="shared" si="94"/>
        <v>300</v>
      </c>
      <c r="M234" s="29">
        <f t="shared" si="95"/>
        <v>950</v>
      </c>
      <c r="N234" s="75">
        <f t="shared" si="104"/>
        <v>1250</v>
      </c>
      <c r="O234" s="1"/>
      <c r="P234" s="1"/>
      <c r="Q234" s="7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</row>
    <row r="235" spans="1:32" ht="15.75" x14ac:dyDescent="0.25">
      <c r="B235" s="74">
        <f>IF(I235&lt;&gt;"",1+MAX(A$1:$B234),"")</f>
        <v>134</v>
      </c>
      <c r="C235" s="9" t="s">
        <v>215</v>
      </c>
      <c r="D235" s="9"/>
      <c r="E235" s="10" t="s">
        <v>230</v>
      </c>
      <c r="F235" s="13">
        <v>1</v>
      </c>
      <c r="G235" s="26">
        <v>0</v>
      </c>
      <c r="H235" s="27">
        <f t="shared" si="103"/>
        <v>1</v>
      </c>
      <c r="I235" s="14" t="s">
        <v>29</v>
      </c>
      <c r="J235" s="15">
        <v>276</v>
      </c>
      <c r="K235" s="15">
        <v>874</v>
      </c>
      <c r="L235" s="16">
        <f t="shared" si="94"/>
        <v>276</v>
      </c>
      <c r="M235" s="29">
        <f t="shared" si="95"/>
        <v>874</v>
      </c>
      <c r="N235" s="75">
        <f t="shared" si="104"/>
        <v>1150</v>
      </c>
      <c r="O235" s="1"/>
      <c r="P235" s="1"/>
      <c r="Q235" s="7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</row>
    <row r="236" spans="1:32" ht="15.75" x14ac:dyDescent="0.25">
      <c r="B236" s="74">
        <f>IF(I236&lt;&gt;"",1+MAX(A$1:$B235),"")</f>
        <v>135</v>
      </c>
      <c r="C236" s="9" t="s">
        <v>215</v>
      </c>
      <c r="D236" s="9"/>
      <c r="E236" s="10" t="s">
        <v>144</v>
      </c>
      <c r="F236" s="13">
        <v>1</v>
      </c>
      <c r="G236" s="26">
        <v>0</v>
      </c>
      <c r="H236" s="27">
        <f t="shared" si="103"/>
        <v>1</v>
      </c>
      <c r="I236" s="14" t="s">
        <v>29</v>
      </c>
      <c r="J236" s="15">
        <v>228</v>
      </c>
      <c r="K236" s="15">
        <v>722</v>
      </c>
      <c r="L236" s="16">
        <f t="shared" si="94"/>
        <v>228</v>
      </c>
      <c r="M236" s="29">
        <f t="shared" si="95"/>
        <v>722</v>
      </c>
      <c r="N236" s="75">
        <f t="shared" si="104"/>
        <v>950</v>
      </c>
      <c r="O236" s="1"/>
      <c r="P236" s="1"/>
      <c r="Q236" s="7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</row>
    <row r="237" spans="1:32" ht="15.75" x14ac:dyDescent="0.25">
      <c r="B237" s="74">
        <f>IF(I237&lt;&gt;"",1+MAX(A$1:$B236),"")</f>
        <v>136</v>
      </c>
      <c r="C237" s="9" t="s">
        <v>215</v>
      </c>
      <c r="D237" s="9"/>
      <c r="E237" s="10" t="s">
        <v>231</v>
      </c>
      <c r="F237" s="13">
        <v>1</v>
      </c>
      <c r="G237" s="26">
        <v>0</v>
      </c>
      <c r="H237" s="27">
        <f t="shared" si="103"/>
        <v>1</v>
      </c>
      <c r="I237" s="14" t="s">
        <v>29</v>
      </c>
      <c r="J237" s="15">
        <v>162</v>
      </c>
      <c r="K237" s="15">
        <v>513</v>
      </c>
      <c r="L237" s="16">
        <f t="shared" si="94"/>
        <v>162</v>
      </c>
      <c r="M237" s="29">
        <f t="shared" si="95"/>
        <v>513</v>
      </c>
      <c r="N237" s="75">
        <f t="shared" si="104"/>
        <v>675</v>
      </c>
      <c r="O237" s="1"/>
      <c r="P237" s="1"/>
      <c r="Q237" s="7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</row>
    <row r="238" spans="1:32" ht="15.75" x14ac:dyDescent="0.25">
      <c r="B238" s="74">
        <f>IF(I238&lt;&gt;"",1+MAX(A$1:$B237),"")</f>
        <v>137</v>
      </c>
      <c r="C238" s="9" t="s">
        <v>215</v>
      </c>
      <c r="D238" s="9"/>
      <c r="E238" s="10" t="s">
        <v>145</v>
      </c>
      <c r="F238" s="13">
        <v>1</v>
      </c>
      <c r="G238" s="26">
        <v>0</v>
      </c>
      <c r="H238" s="27">
        <f t="shared" si="103"/>
        <v>1</v>
      </c>
      <c r="I238" s="14" t="s">
        <v>29</v>
      </c>
      <c r="J238" s="15">
        <v>276</v>
      </c>
      <c r="K238" s="15">
        <v>874</v>
      </c>
      <c r="L238" s="16">
        <f t="shared" si="94"/>
        <v>276</v>
      </c>
      <c r="M238" s="29">
        <f t="shared" si="95"/>
        <v>874</v>
      </c>
      <c r="N238" s="75">
        <f t="shared" si="104"/>
        <v>1150</v>
      </c>
      <c r="O238" s="1"/>
      <c r="P238" s="1"/>
      <c r="Q238" s="7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</row>
    <row r="239" spans="1:32" ht="15.75" x14ac:dyDescent="0.25">
      <c r="B239" s="74" t="str">
        <f>IF(I239&lt;&gt;"",1+MAX(A$1:$B238),"")</f>
        <v/>
      </c>
      <c r="C239" s="9"/>
      <c r="D239" s="9"/>
      <c r="E239" s="10"/>
      <c r="F239" s="13"/>
      <c r="G239" s="26"/>
      <c r="H239" s="27"/>
      <c r="I239" s="14"/>
      <c r="J239" s="15" t="s">
        <v>28</v>
      </c>
      <c r="K239" s="15" t="s">
        <v>28</v>
      </c>
      <c r="L239" s="16"/>
      <c r="M239" s="29"/>
      <c r="N239" s="75"/>
      <c r="O239" s="1"/>
      <c r="P239" s="1"/>
      <c r="Q239" s="7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</row>
    <row r="240" spans="1:32" ht="15.75" x14ac:dyDescent="0.25">
      <c r="A240" s="28"/>
      <c r="B240" s="74" t="str">
        <f>IF(I240&lt;&gt;"",1+MAX(A$1:$B239),"")</f>
        <v/>
      </c>
      <c r="C240" s="8"/>
      <c r="D240" s="14"/>
      <c r="E240" s="18" t="s">
        <v>2</v>
      </c>
      <c r="F240" s="17"/>
      <c r="G240" s="17"/>
      <c r="H240" s="13"/>
      <c r="I240" s="17"/>
      <c r="J240" s="20" t="s">
        <v>28</v>
      </c>
      <c r="K240" s="20" t="s">
        <v>28</v>
      </c>
      <c r="L240" s="76">
        <f>SUM(L210:L239)</f>
        <v>8712</v>
      </c>
      <c r="M240" s="76">
        <f>SUM(M210:M239)</f>
        <v>27588</v>
      </c>
      <c r="N240" s="76">
        <f>SUM(N210:N239)</f>
        <v>36300</v>
      </c>
      <c r="O240" s="30"/>
      <c r="P240" s="30"/>
      <c r="Q240" s="7"/>
      <c r="R240" s="30"/>
      <c r="S240" s="30"/>
      <c r="T240" s="30"/>
      <c r="U240" s="30"/>
      <c r="V240" s="30"/>
      <c r="W240" s="30"/>
      <c r="X240" s="30"/>
      <c r="Y240" s="30"/>
      <c r="Z240" s="30"/>
      <c r="AA240" s="30"/>
      <c r="AB240" s="30"/>
      <c r="AC240" s="30"/>
      <c r="AD240" s="30"/>
      <c r="AE240" s="30"/>
      <c r="AF240" s="30"/>
    </row>
    <row r="241" spans="2:32" ht="15.75" x14ac:dyDescent="0.25">
      <c r="B241" s="77" t="str">
        <f>IF(I241&lt;&gt;"",1+MAX(A$1:$B240),"")</f>
        <v/>
      </c>
      <c r="C241" s="31"/>
      <c r="D241" s="70">
        <v>12</v>
      </c>
      <c r="E241" s="71" t="s">
        <v>45</v>
      </c>
      <c r="F241" s="21"/>
      <c r="G241" s="21"/>
      <c r="H241" s="21"/>
      <c r="I241" s="21"/>
      <c r="J241" s="21" t="s">
        <v>28</v>
      </c>
      <c r="K241" s="21" t="s">
        <v>28</v>
      </c>
      <c r="L241" s="21"/>
      <c r="M241" s="21"/>
      <c r="N241" s="78"/>
      <c r="O241" s="22"/>
      <c r="P241" s="1"/>
      <c r="Q241" s="7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</row>
    <row r="242" spans="2:32" ht="15.75" x14ac:dyDescent="0.25">
      <c r="B242" s="74" t="str">
        <f>IF(I242&lt;&gt;"",1+MAX(A$1:$B241),"")</f>
        <v/>
      </c>
      <c r="C242" s="23"/>
      <c r="D242" s="9"/>
      <c r="E242" s="10"/>
      <c r="F242" s="11"/>
      <c r="G242" s="12"/>
      <c r="H242" s="13"/>
      <c r="I242" s="14"/>
      <c r="J242" s="15" t="s">
        <v>28</v>
      </c>
      <c r="K242" s="15" t="s">
        <v>28</v>
      </c>
      <c r="L242" s="16"/>
      <c r="M242" s="16"/>
      <c r="N242" s="75"/>
      <c r="O242" s="94"/>
      <c r="P242" s="1"/>
      <c r="Q242" s="7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</row>
    <row r="243" spans="2:32" ht="15.75" x14ac:dyDescent="0.25">
      <c r="B243" s="74" t="str">
        <f>IF(I243&lt;&gt;"",1+MAX(A$1:$B242),"")</f>
        <v/>
      </c>
      <c r="C243" s="23"/>
      <c r="D243" s="25"/>
      <c r="E243" s="96" t="s">
        <v>46</v>
      </c>
      <c r="F243" s="13"/>
      <c r="G243" s="26"/>
      <c r="H243" s="27"/>
      <c r="I243" s="24"/>
      <c r="J243" s="15" t="s">
        <v>28</v>
      </c>
      <c r="K243" s="15" t="s">
        <v>28</v>
      </c>
      <c r="L243" s="15"/>
      <c r="M243" s="15"/>
      <c r="N243" s="79"/>
      <c r="O243" s="22"/>
      <c r="P243" s="22"/>
      <c r="Q243" s="7"/>
      <c r="R243" s="22"/>
      <c r="S243" s="22"/>
      <c r="T243" s="22"/>
      <c r="U243" s="22"/>
      <c r="V243" s="22"/>
      <c r="W243" s="22"/>
      <c r="X243" s="22"/>
      <c r="Y243" s="22"/>
      <c r="Z243" s="22"/>
      <c r="AA243" s="22"/>
      <c r="AB243" s="22"/>
      <c r="AC243" s="22"/>
      <c r="AD243" s="22"/>
      <c r="AE243" s="22"/>
      <c r="AF243" s="22"/>
    </row>
    <row r="244" spans="2:32" ht="15.75" x14ac:dyDescent="0.25">
      <c r="B244" s="74">
        <f>IF(I244&lt;&gt;"",1+MAX(A$1:$B243),"")</f>
        <v>138</v>
      </c>
      <c r="C244" s="9" t="s">
        <v>215</v>
      </c>
      <c r="D244" s="9"/>
      <c r="E244" s="10" t="s">
        <v>120</v>
      </c>
      <c r="F244" s="13">
        <v>17</v>
      </c>
      <c r="G244" s="26">
        <v>0</v>
      </c>
      <c r="H244" s="27">
        <f t="shared" ref="H244:H254" si="105">(1+G244)*F244</f>
        <v>17</v>
      </c>
      <c r="I244" s="14" t="s">
        <v>29</v>
      </c>
      <c r="J244" s="15">
        <v>234</v>
      </c>
      <c r="K244" s="15">
        <v>741</v>
      </c>
      <c r="L244" s="16">
        <f t="shared" ref="L244:L250" si="106">J244*H244</f>
        <v>3978</v>
      </c>
      <c r="M244" s="29">
        <f t="shared" ref="M244:M250" si="107">K244*H244</f>
        <v>12597</v>
      </c>
      <c r="N244" s="75">
        <f t="shared" ref="N244:N257" si="108">M244+L244</f>
        <v>16575</v>
      </c>
      <c r="O244" s="1"/>
      <c r="P244" s="1"/>
      <c r="Q244" s="7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</row>
    <row r="245" spans="2:32" ht="15.75" x14ac:dyDescent="0.25">
      <c r="B245" s="74">
        <f>IF(I245&lt;&gt;"",1+MAX(A$1:$B244),"")</f>
        <v>139</v>
      </c>
      <c r="C245" s="9" t="s">
        <v>215</v>
      </c>
      <c r="D245" s="9"/>
      <c r="E245" s="10" t="s">
        <v>232</v>
      </c>
      <c r="F245" s="13">
        <v>6</v>
      </c>
      <c r="G245" s="26">
        <v>0</v>
      </c>
      <c r="H245" s="27">
        <f t="shared" ref="H245" si="109">(1+G245)*F245</f>
        <v>6</v>
      </c>
      <c r="I245" s="14" t="s">
        <v>29</v>
      </c>
      <c r="J245" s="15">
        <v>300</v>
      </c>
      <c r="K245" s="15">
        <v>950</v>
      </c>
      <c r="L245" s="16">
        <f t="shared" si="106"/>
        <v>1800</v>
      </c>
      <c r="M245" s="29">
        <f t="shared" si="107"/>
        <v>5700</v>
      </c>
      <c r="N245" s="75">
        <f t="shared" ref="N245" si="110">M245+L245</f>
        <v>7500</v>
      </c>
      <c r="O245" s="1"/>
      <c r="P245" s="1"/>
      <c r="Q245" s="7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</row>
    <row r="246" spans="2:32" ht="15.75" x14ac:dyDescent="0.25">
      <c r="B246" s="74">
        <f>IF(I246&lt;&gt;"",1+MAX(A$1:$B245),"")</f>
        <v>140</v>
      </c>
      <c r="C246" s="9" t="s">
        <v>215</v>
      </c>
      <c r="D246" s="9"/>
      <c r="E246" s="10" t="s">
        <v>121</v>
      </c>
      <c r="F246" s="13">
        <v>4</v>
      </c>
      <c r="G246" s="26">
        <v>0</v>
      </c>
      <c r="H246" s="27">
        <f t="shared" ref="H246" si="111">(1+G246)*F246</f>
        <v>4</v>
      </c>
      <c r="I246" s="14" t="s">
        <v>29</v>
      </c>
      <c r="J246" s="15">
        <v>276</v>
      </c>
      <c r="K246" s="15">
        <v>874</v>
      </c>
      <c r="L246" s="16">
        <f t="shared" si="106"/>
        <v>1104</v>
      </c>
      <c r="M246" s="29">
        <f t="shared" si="107"/>
        <v>3496</v>
      </c>
      <c r="N246" s="75">
        <f t="shared" ref="N246" si="112">M246+L246</f>
        <v>4600</v>
      </c>
      <c r="O246" s="1"/>
      <c r="P246" s="1"/>
      <c r="Q246" s="7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</row>
    <row r="247" spans="2:32" ht="15.75" x14ac:dyDescent="0.25">
      <c r="B247" s="74">
        <f>IF(I247&lt;&gt;"",1+MAX(A$1:$B246),"")</f>
        <v>141</v>
      </c>
      <c r="C247" s="9" t="s">
        <v>215</v>
      </c>
      <c r="D247" s="9"/>
      <c r="E247" s="10" t="s">
        <v>122</v>
      </c>
      <c r="F247" s="13">
        <v>18.02</v>
      </c>
      <c r="G247" s="26">
        <v>0</v>
      </c>
      <c r="H247" s="27">
        <f t="shared" ref="H247" si="113">(1+G247)*F247</f>
        <v>18.02</v>
      </c>
      <c r="I247" s="14" t="s">
        <v>29</v>
      </c>
      <c r="J247" s="15">
        <v>38.4</v>
      </c>
      <c r="K247" s="15">
        <v>121.6</v>
      </c>
      <c r="L247" s="16">
        <f t="shared" si="106"/>
        <v>691.96799999999996</v>
      </c>
      <c r="M247" s="29">
        <f t="shared" si="107"/>
        <v>2191.232</v>
      </c>
      <c r="N247" s="75">
        <f t="shared" ref="N247" si="114">M247+L247</f>
        <v>2883.2</v>
      </c>
      <c r="O247" s="1"/>
      <c r="P247" s="1"/>
      <c r="Q247" s="7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</row>
    <row r="248" spans="2:32" ht="15.75" x14ac:dyDescent="0.25">
      <c r="B248" s="74">
        <f>IF(I248&lt;&gt;"",1+MAX(A$1:$B247),"")</f>
        <v>142</v>
      </c>
      <c r="C248" s="9" t="s">
        <v>215</v>
      </c>
      <c r="D248" s="9"/>
      <c r="E248" s="10" t="s">
        <v>123</v>
      </c>
      <c r="F248" s="13">
        <v>4.99</v>
      </c>
      <c r="G248" s="26">
        <v>0</v>
      </c>
      <c r="H248" s="27">
        <f t="shared" ref="H248" si="115">(1+G248)*F248</f>
        <v>4.99</v>
      </c>
      <c r="I248" s="14" t="s">
        <v>29</v>
      </c>
      <c r="J248" s="15">
        <v>54</v>
      </c>
      <c r="K248" s="15">
        <v>171</v>
      </c>
      <c r="L248" s="16">
        <f t="shared" si="106"/>
        <v>269.46000000000004</v>
      </c>
      <c r="M248" s="29">
        <f t="shared" si="107"/>
        <v>853.29000000000008</v>
      </c>
      <c r="N248" s="75">
        <f t="shared" ref="N248" si="116">M248+L248</f>
        <v>1122.75</v>
      </c>
      <c r="O248" s="1"/>
      <c r="P248" s="1"/>
      <c r="Q248" s="7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</row>
    <row r="249" spans="2:32" ht="15.75" x14ac:dyDescent="0.25">
      <c r="B249" s="74">
        <f>IF(I249&lt;&gt;"",1+MAX(A$1:$B248),"")</f>
        <v>143</v>
      </c>
      <c r="C249" s="9" t="s">
        <v>215</v>
      </c>
      <c r="D249" s="9"/>
      <c r="E249" s="10" t="s">
        <v>124</v>
      </c>
      <c r="F249" s="13">
        <v>1</v>
      </c>
      <c r="G249" s="26">
        <v>0</v>
      </c>
      <c r="H249" s="27">
        <f t="shared" ref="H249" si="117">(1+G249)*F249</f>
        <v>1</v>
      </c>
      <c r="I249" s="14" t="s">
        <v>29</v>
      </c>
      <c r="J249" s="15">
        <v>540</v>
      </c>
      <c r="K249" s="15">
        <v>1710</v>
      </c>
      <c r="L249" s="16">
        <f t="shared" si="106"/>
        <v>540</v>
      </c>
      <c r="M249" s="29">
        <f t="shared" si="107"/>
        <v>1710</v>
      </c>
      <c r="N249" s="75">
        <f t="shared" ref="N249" si="118">M249+L249</f>
        <v>2250</v>
      </c>
      <c r="O249" s="1"/>
      <c r="P249" s="1"/>
      <c r="Q249" s="7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</row>
    <row r="250" spans="2:32" ht="15.75" x14ac:dyDescent="0.25">
      <c r="B250" s="74">
        <f>IF(I250&lt;&gt;"",1+MAX(A$1:$B249),"")</f>
        <v>144</v>
      </c>
      <c r="C250" s="9" t="s">
        <v>215</v>
      </c>
      <c r="D250" s="9"/>
      <c r="E250" s="10" t="s">
        <v>125</v>
      </c>
      <c r="F250" s="13">
        <v>16</v>
      </c>
      <c r="G250" s="26">
        <v>0</v>
      </c>
      <c r="H250" s="27">
        <f t="shared" ref="H250" si="119">(1+G250)*F250</f>
        <v>16</v>
      </c>
      <c r="I250" s="14" t="s">
        <v>29</v>
      </c>
      <c r="J250" s="15">
        <v>150</v>
      </c>
      <c r="K250" s="15">
        <v>475</v>
      </c>
      <c r="L250" s="16">
        <f t="shared" si="106"/>
        <v>2400</v>
      </c>
      <c r="M250" s="29">
        <f t="shared" si="107"/>
        <v>7600</v>
      </c>
      <c r="N250" s="75">
        <f t="shared" ref="N250" si="120">M250+L250</f>
        <v>10000</v>
      </c>
      <c r="O250" s="1"/>
      <c r="P250" s="1"/>
      <c r="Q250" s="7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</row>
    <row r="251" spans="2:32" ht="15.75" x14ac:dyDescent="0.25">
      <c r="B251" s="74" t="str">
        <f>IF(I251&lt;&gt;"",1+MAX(A$1:$B250),"")</f>
        <v/>
      </c>
      <c r="C251" s="9"/>
      <c r="D251" s="9"/>
      <c r="E251" s="10"/>
      <c r="F251" s="13"/>
      <c r="G251" s="26"/>
      <c r="H251" s="27"/>
      <c r="I251" s="14"/>
      <c r="J251" s="15" t="s">
        <v>28</v>
      </c>
      <c r="K251" s="15" t="s">
        <v>28</v>
      </c>
      <c r="L251" s="16"/>
      <c r="M251" s="29"/>
      <c r="N251" s="75"/>
      <c r="O251" s="1"/>
      <c r="P251" s="1"/>
      <c r="Q251" s="7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</row>
    <row r="252" spans="2:32" ht="15.75" x14ac:dyDescent="0.25">
      <c r="B252" s="74" t="str">
        <f>IF(I252&lt;&gt;"",1+MAX(A$1:$B251),"")</f>
        <v/>
      </c>
      <c r="C252" s="23"/>
      <c r="D252" s="25"/>
      <c r="E252" s="96" t="s">
        <v>47</v>
      </c>
      <c r="F252" s="13"/>
      <c r="G252" s="26"/>
      <c r="H252" s="27"/>
      <c r="I252" s="24"/>
      <c r="J252" s="15" t="s">
        <v>28</v>
      </c>
      <c r="K252" s="15" t="s">
        <v>28</v>
      </c>
      <c r="L252" s="15"/>
      <c r="M252" s="15"/>
      <c r="N252" s="79"/>
      <c r="O252" s="22"/>
      <c r="P252" s="22"/>
      <c r="Q252" s="7"/>
      <c r="R252" s="22"/>
      <c r="S252" s="22"/>
      <c r="T252" s="22"/>
      <c r="U252" s="22"/>
      <c r="V252" s="22"/>
      <c r="W252" s="22"/>
      <c r="X252" s="22"/>
      <c r="Y252" s="22"/>
      <c r="Z252" s="22"/>
      <c r="AA252" s="22"/>
      <c r="AB252" s="22"/>
      <c r="AC252" s="22"/>
      <c r="AD252" s="22"/>
      <c r="AE252" s="22"/>
      <c r="AF252" s="22"/>
    </row>
    <row r="253" spans="2:32" ht="15.75" x14ac:dyDescent="0.25">
      <c r="B253" s="74">
        <f>IF(I253&lt;&gt;"",1+MAX(A$1:$B252),"")</f>
        <v>145</v>
      </c>
      <c r="C253" s="9" t="s">
        <v>200</v>
      </c>
      <c r="D253" s="9"/>
      <c r="E253" s="10" t="s">
        <v>116</v>
      </c>
      <c r="F253" s="13">
        <f>2*8.44</f>
        <v>16.88</v>
      </c>
      <c r="G253" s="26">
        <v>0</v>
      </c>
      <c r="H253" s="27">
        <f t="shared" si="105"/>
        <v>16.88</v>
      </c>
      <c r="I253" s="14" t="s">
        <v>29</v>
      </c>
      <c r="J253" s="15">
        <v>30</v>
      </c>
      <c r="K253" s="15">
        <v>95</v>
      </c>
      <c r="L253" s="16">
        <f>J253*H253</f>
        <v>506.4</v>
      </c>
      <c r="M253" s="29">
        <f>K253*H253</f>
        <v>1603.6</v>
      </c>
      <c r="N253" s="75">
        <f t="shared" si="108"/>
        <v>2110</v>
      </c>
      <c r="O253" s="1"/>
      <c r="P253" s="1"/>
      <c r="Q253" s="7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</row>
    <row r="254" spans="2:32" ht="15.75" x14ac:dyDescent="0.25">
      <c r="B254" s="74">
        <f>IF(I254&lt;&gt;"",1+MAX(A$1:$B253),"")</f>
        <v>146</v>
      </c>
      <c r="C254" s="9" t="s">
        <v>200</v>
      </c>
      <c r="D254" s="9"/>
      <c r="E254" s="10" t="s">
        <v>100</v>
      </c>
      <c r="F254" s="13">
        <f>2.5*24.39</f>
        <v>60.975000000000001</v>
      </c>
      <c r="G254" s="26">
        <v>0.1</v>
      </c>
      <c r="H254" s="27">
        <f t="shared" si="105"/>
        <v>67.072500000000005</v>
      </c>
      <c r="I254" s="14" t="s">
        <v>30</v>
      </c>
      <c r="J254" s="15">
        <v>7.68</v>
      </c>
      <c r="K254" s="15">
        <v>24.32</v>
      </c>
      <c r="L254" s="16">
        <f>J254*H254</f>
        <v>515.11680000000001</v>
      </c>
      <c r="M254" s="29">
        <f>K254*H254</f>
        <v>1631.2032000000002</v>
      </c>
      <c r="N254" s="75">
        <f t="shared" si="108"/>
        <v>2146.3200000000002</v>
      </c>
      <c r="O254" s="1"/>
      <c r="P254" s="1"/>
      <c r="Q254" s="7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</row>
    <row r="255" spans="2:32" ht="15.75" x14ac:dyDescent="0.25">
      <c r="B255" s="74" t="str">
        <f>IF(I255&lt;&gt;"",1+MAX(A$1:$B254),"")</f>
        <v/>
      </c>
      <c r="C255" s="9"/>
      <c r="D255" s="9"/>
      <c r="E255" s="10"/>
      <c r="F255" s="13"/>
      <c r="G255" s="26"/>
      <c r="H255" s="27"/>
      <c r="I255" s="14"/>
      <c r="J255" s="15" t="s">
        <v>28</v>
      </c>
      <c r="K255" s="15" t="s">
        <v>28</v>
      </c>
      <c r="L255" s="16"/>
      <c r="M255" s="29"/>
      <c r="N255" s="75"/>
      <c r="O255" s="1"/>
      <c r="P255" s="1"/>
      <c r="Q255" s="7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</row>
    <row r="256" spans="2:32" ht="15.75" x14ac:dyDescent="0.25">
      <c r="B256" s="74" t="str">
        <f>IF(I256&lt;&gt;"",1+MAX(A$1:$B255),"")</f>
        <v/>
      </c>
      <c r="C256" s="9"/>
      <c r="D256" s="9"/>
      <c r="E256" s="96" t="s">
        <v>66</v>
      </c>
      <c r="F256" s="13"/>
      <c r="G256" s="26"/>
      <c r="H256" s="27"/>
      <c r="I256" s="14"/>
      <c r="J256" s="15" t="s">
        <v>28</v>
      </c>
      <c r="K256" s="15" t="s">
        <v>28</v>
      </c>
      <c r="L256" s="16"/>
      <c r="M256" s="29"/>
      <c r="N256" s="75"/>
      <c r="O256" s="1"/>
      <c r="P256" s="1"/>
      <c r="Q256" s="7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</row>
    <row r="257" spans="1:32" ht="15.75" x14ac:dyDescent="0.25">
      <c r="B257" s="74">
        <f>IF(I257&lt;&gt;"",1+MAX(A$1:$B256),"")</f>
        <v>147</v>
      </c>
      <c r="C257" s="9" t="s">
        <v>200</v>
      </c>
      <c r="D257" s="9"/>
      <c r="E257" s="10" t="s">
        <v>115</v>
      </c>
      <c r="F257" s="13">
        <v>8.44</v>
      </c>
      <c r="G257" s="26">
        <v>0.2</v>
      </c>
      <c r="H257" s="27">
        <f t="shared" ref="H257" si="121">(1+G257)*F257</f>
        <v>10.127999999999998</v>
      </c>
      <c r="I257" s="14" t="s">
        <v>38</v>
      </c>
      <c r="J257" s="15">
        <v>52.8</v>
      </c>
      <c r="K257" s="15">
        <v>167.2</v>
      </c>
      <c r="L257" s="16">
        <f>J257*H257</f>
        <v>534.75839999999994</v>
      </c>
      <c r="M257" s="29">
        <f>K257*H257</f>
        <v>1693.4015999999997</v>
      </c>
      <c r="N257" s="75">
        <f t="shared" si="108"/>
        <v>2228.16</v>
      </c>
      <c r="O257" s="1"/>
      <c r="P257" s="1"/>
      <c r="Q257" s="7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</row>
    <row r="258" spans="1:32" ht="15.75" x14ac:dyDescent="0.25">
      <c r="B258" s="74" t="str">
        <f>IF(I258&lt;&gt;"",1+MAX(A$1:$B257),"")</f>
        <v/>
      </c>
      <c r="C258" s="9"/>
      <c r="D258" s="9"/>
      <c r="E258" s="10"/>
      <c r="F258" s="13"/>
      <c r="G258" s="26"/>
      <c r="H258" s="27"/>
      <c r="I258" s="14"/>
      <c r="J258" s="15" t="s">
        <v>28</v>
      </c>
      <c r="K258" s="15" t="s">
        <v>28</v>
      </c>
      <c r="L258" s="16"/>
      <c r="M258" s="29"/>
      <c r="N258" s="75"/>
      <c r="O258" s="1"/>
      <c r="P258" s="1"/>
      <c r="Q258" s="7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</row>
    <row r="259" spans="1:32" ht="15.75" x14ac:dyDescent="0.25">
      <c r="A259" s="28"/>
      <c r="B259" s="74" t="str">
        <f>IF(I259&lt;&gt;"",1+MAX(A$1:$B258),"")</f>
        <v/>
      </c>
      <c r="C259" s="8"/>
      <c r="D259" s="14"/>
      <c r="E259" s="18" t="s">
        <v>2</v>
      </c>
      <c r="F259" s="17"/>
      <c r="G259" s="17"/>
      <c r="H259" s="13"/>
      <c r="I259" s="17"/>
      <c r="J259" s="20" t="s">
        <v>28</v>
      </c>
      <c r="K259" s="20" t="s">
        <v>28</v>
      </c>
      <c r="L259" s="76">
        <f>SUM(L243:L258)</f>
        <v>12339.7032</v>
      </c>
      <c r="M259" s="76">
        <f>SUM(M243:M258)</f>
        <v>39075.726799999997</v>
      </c>
      <c r="N259" s="76">
        <f>SUM(N243:N258)</f>
        <v>51415.429999999993</v>
      </c>
      <c r="O259" s="30"/>
      <c r="P259" s="30"/>
      <c r="Q259" s="7"/>
      <c r="R259" s="30"/>
      <c r="S259" s="30"/>
      <c r="T259" s="30"/>
      <c r="U259" s="30"/>
      <c r="V259" s="30"/>
      <c r="W259" s="30"/>
      <c r="X259" s="30"/>
      <c r="Y259" s="30"/>
      <c r="Z259" s="30"/>
      <c r="AA259" s="30"/>
      <c r="AB259" s="30"/>
      <c r="AC259" s="30"/>
      <c r="AD259" s="30"/>
      <c r="AE259" s="30"/>
      <c r="AF259" s="30"/>
    </row>
    <row r="260" spans="1:32" ht="15.75" x14ac:dyDescent="0.25">
      <c r="B260" s="77" t="str">
        <f>IF(I260&lt;&gt;"",1+MAX(A$1:$B259),"")</f>
        <v/>
      </c>
      <c r="C260" s="31"/>
      <c r="D260" s="70">
        <v>22</v>
      </c>
      <c r="E260" s="71" t="s">
        <v>56</v>
      </c>
      <c r="F260" s="21"/>
      <c r="G260" s="21"/>
      <c r="H260" s="21"/>
      <c r="I260" s="21"/>
      <c r="J260" s="21" t="s">
        <v>28</v>
      </c>
      <c r="K260" s="21" t="s">
        <v>28</v>
      </c>
      <c r="L260" s="21"/>
      <c r="M260" s="21"/>
      <c r="N260" s="78"/>
      <c r="O260" s="22"/>
      <c r="P260" s="1"/>
      <c r="Q260" s="7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</row>
    <row r="261" spans="1:32" ht="15.75" x14ac:dyDescent="0.25">
      <c r="B261" s="74" t="str">
        <f>IF(I261&lt;&gt;"",1+MAX(A$1:$B260),"")</f>
        <v/>
      </c>
      <c r="C261" s="23"/>
      <c r="D261" s="9"/>
      <c r="E261" s="10"/>
      <c r="F261" s="11"/>
      <c r="G261" s="12"/>
      <c r="H261" s="13"/>
      <c r="I261" s="14"/>
      <c r="J261" s="15" t="s">
        <v>28</v>
      </c>
      <c r="K261" s="15" t="s">
        <v>28</v>
      </c>
      <c r="L261" s="16"/>
      <c r="M261" s="16"/>
      <c r="N261" s="75"/>
      <c r="O261" s="94"/>
      <c r="P261" s="1"/>
      <c r="Q261" s="7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</row>
    <row r="262" spans="1:32" ht="15.75" x14ac:dyDescent="0.25">
      <c r="B262" s="74" t="str">
        <f>IF(I262&lt;&gt;"",1+MAX(A$1:$B261),"")</f>
        <v/>
      </c>
      <c r="C262" s="23"/>
      <c r="D262" s="25"/>
      <c r="E262" s="96" t="s">
        <v>57</v>
      </c>
      <c r="F262" s="13"/>
      <c r="G262" s="26"/>
      <c r="H262" s="27"/>
      <c r="I262" s="24"/>
      <c r="J262" s="15" t="s">
        <v>28</v>
      </c>
      <c r="K262" s="15" t="s">
        <v>28</v>
      </c>
      <c r="L262" s="15"/>
      <c r="M262" s="15"/>
      <c r="N262" s="79"/>
      <c r="O262" s="22"/>
      <c r="P262" s="22"/>
      <c r="Q262" s="7"/>
      <c r="R262" s="22"/>
      <c r="S262" s="22"/>
      <c r="T262" s="22"/>
      <c r="U262" s="22"/>
      <c r="V262" s="22"/>
      <c r="W262" s="22"/>
      <c r="X262" s="22"/>
      <c r="Y262" s="22"/>
      <c r="Z262" s="22"/>
      <c r="AA262" s="22"/>
      <c r="AB262" s="22"/>
      <c r="AC262" s="22"/>
      <c r="AD262" s="22"/>
      <c r="AE262" s="22"/>
      <c r="AF262" s="22"/>
    </row>
    <row r="263" spans="1:32" ht="15.75" x14ac:dyDescent="0.25">
      <c r="B263" s="74">
        <f>IF(I263&lt;&gt;"",1+MAX(A$1:$B262),"")</f>
        <v>148</v>
      </c>
      <c r="C263" s="9" t="s">
        <v>200</v>
      </c>
      <c r="D263" s="9"/>
      <c r="E263" s="10" t="s">
        <v>99</v>
      </c>
      <c r="F263" s="13">
        <v>2</v>
      </c>
      <c r="G263" s="26">
        <v>0</v>
      </c>
      <c r="H263" s="27">
        <f t="shared" ref="H263:H264" si="122">(1+G263)*F263</f>
        <v>2</v>
      </c>
      <c r="I263" s="14" t="s">
        <v>29</v>
      </c>
      <c r="J263" s="15">
        <v>116.39999999999999</v>
      </c>
      <c r="K263" s="15">
        <v>368.6</v>
      </c>
      <c r="L263" s="16">
        <f>J263*H263</f>
        <v>232.79999999999998</v>
      </c>
      <c r="M263" s="29">
        <f>K263*H263</f>
        <v>737.2</v>
      </c>
      <c r="N263" s="75">
        <f t="shared" ref="N263:N264" si="123">M263+L263</f>
        <v>970</v>
      </c>
      <c r="O263" s="1"/>
      <c r="P263" s="1"/>
      <c r="Q263" s="7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</row>
    <row r="264" spans="1:32" ht="15.75" x14ac:dyDescent="0.25">
      <c r="B264" s="74">
        <f>IF(I264&lt;&gt;"",1+MAX(A$1:$B263),"")</f>
        <v>149</v>
      </c>
      <c r="C264" s="9" t="s">
        <v>215</v>
      </c>
      <c r="D264" s="9"/>
      <c r="E264" s="10" t="s">
        <v>233</v>
      </c>
      <c r="F264" s="13">
        <v>4</v>
      </c>
      <c r="G264" s="26">
        <v>0</v>
      </c>
      <c r="H264" s="27">
        <f t="shared" si="122"/>
        <v>4</v>
      </c>
      <c r="I264" s="14" t="s">
        <v>29</v>
      </c>
      <c r="J264" s="15">
        <v>144</v>
      </c>
      <c r="K264" s="15">
        <v>456</v>
      </c>
      <c r="L264" s="16">
        <f>J264*H264</f>
        <v>576</v>
      </c>
      <c r="M264" s="29">
        <f>K264*H264</f>
        <v>1824</v>
      </c>
      <c r="N264" s="75">
        <f t="shared" si="123"/>
        <v>2400</v>
      </c>
      <c r="O264" s="1"/>
      <c r="P264" s="1"/>
      <c r="Q264" s="7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</row>
    <row r="265" spans="1:32" ht="15.75" x14ac:dyDescent="0.25">
      <c r="B265" s="74">
        <f>IF(I265&lt;&gt;"",1+MAX(A$1:$B264),"")</f>
        <v>150</v>
      </c>
      <c r="C265" s="9" t="s">
        <v>215</v>
      </c>
      <c r="D265" s="9"/>
      <c r="E265" s="10" t="s">
        <v>146</v>
      </c>
      <c r="F265" s="13">
        <v>2</v>
      </c>
      <c r="G265" s="26">
        <v>0</v>
      </c>
      <c r="H265" s="27">
        <f t="shared" ref="H265" si="124">(1+G265)*F265</f>
        <v>2</v>
      </c>
      <c r="I265" s="14" t="s">
        <v>29</v>
      </c>
      <c r="J265" s="15">
        <v>222</v>
      </c>
      <c r="K265" s="15">
        <v>703</v>
      </c>
      <c r="L265" s="16">
        <f>J265*H265</f>
        <v>444</v>
      </c>
      <c r="M265" s="29">
        <f>K265*H265</f>
        <v>1406</v>
      </c>
      <c r="N265" s="75">
        <f t="shared" ref="N265" si="125">M265+L265</f>
        <v>1850</v>
      </c>
      <c r="O265" s="1"/>
      <c r="P265" s="1"/>
      <c r="Q265" s="7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</row>
    <row r="266" spans="1:32" ht="15.75" x14ac:dyDescent="0.25">
      <c r="B266" s="74">
        <f>IF(I266&lt;&gt;"",1+MAX(A$1:$B265),"")</f>
        <v>151</v>
      </c>
      <c r="C266" s="9" t="s">
        <v>215</v>
      </c>
      <c r="D266" s="9"/>
      <c r="E266" s="10" t="s">
        <v>147</v>
      </c>
      <c r="F266" s="13">
        <v>1</v>
      </c>
      <c r="G266" s="26">
        <v>0</v>
      </c>
      <c r="H266" s="27">
        <f t="shared" ref="H266" si="126">(1+G266)*F266</f>
        <v>1</v>
      </c>
      <c r="I266" s="14" t="s">
        <v>29</v>
      </c>
      <c r="J266" s="15">
        <v>396</v>
      </c>
      <c r="K266" s="15">
        <v>1254</v>
      </c>
      <c r="L266" s="16">
        <f>J266*H266</f>
        <v>396</v>
      </c>
      <c r="M266" s="29">
        <f>K266*H266</f>
        <v>1254</v>
      </c>
      <c r="N266" s="75">
        <f t="shared" ref="N266" si="127">M266+L266</f>
        <v>1650</v>
      </c>
      <c r="O266" s="1"/>
      <c r="P266" s="1"/>
      <c r="Q266" s="7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</row>
    <row r="267" spans="1:32" ht="15.75" x14ac:dyDescent="0.25">
      <c r="B267" s="74">
        <f>IF(I267&lt;&gt;"",1+MAX(A$1:$B266),"")</f>
        <v>152</v>
      </c>
      <c r="C267" s="9" t="s">
        <v>215</v>
      </c>
      <c r="D267" s="9"/>
      <c r="E267" s="10" t="s">
        <v>148</v>
      </c>
      <c r="F267" s="13">
        <v>4</v>
      </c>
      <c r="G267" s="26">
        <v>0</v>
      </c>
      <c r="H267" s="27">
        <f t="shared" ref="H267" si="128">(1+G267)*F267</f>
        <v>4</v>
      </c>
      <c r="I267" s="14" t="s">
        <v>29</v>
      </c>
      <c r="J267" s="15">
        <v>252</v>
      </c>
      <c r="K267" s="15">
        <v>798</v>
      </c>
      <c r="L267" s="16">
        <f>J267*H267</f>
        <v>1008</v>
      </c>
      <c r="M267" s="29">
        <f>K267*H267</f>
        <v>3192</v>
      </c>
      <c r="N267" s="75">
        <f t="shared" ref="N267" si="129">M267+L267</f>
        <v>4200</v>
      </c>
      <c r="O267" s="1"/>
      <c r="P267" s="1"/>
      <c r="Q267" s="7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</row>
    <row r="268" spans="1:32" ht="15.75" x14ac:dyDescent="0.25">
      <c r="B268" s="74" t="str">
        <f>IF(I268&lt;&gt;"",1+MAX(A$1:$B267),"")</f>
        <v/>
      </c>
      <c r="C268" s="9"/>
      <c r="D268" s="9"/>
      <c r="E268" s="10"/>
      <c r="F268" s="13"/>
      <c r="G268" s="26"/>
      <c r="H268" s="27"/>
      <c r="I268" s="14"/>
      <c r="J268" s="15" t="s">
        <v>28</v>
      </c>
      <c r="K268" s="15" t="s">
        <v>28</v>
      </c>
      <c r="L268" s="16"/>
      <c r="M268" s="29"/>
      <c r="N268" s="75"/>
      <c r="O268" s="1"/>
      <c r="P268" s="1"/>
      <c r="Q268" s="7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</row>
    <row r="269" spans="1:32" ht="15.75" x14ac:dyDescent="0.25">
      <c r="B269" s="74" t="str">
        <f>IF(I269&lt;&gt;"",1+MAX(A$1:$B268),"")</f>
        <v/>
      </c>
      <c r="C269" s="23"/>
      <c r="D269" s="25"/>
      <c r="E269" s="96" t="s">
        <v>216</v>
      </c>
      <c r="F269" s="13"/>
      <c r="G269" s="26"/>
      <c r="H269" s="27"/>
      <c r="I269" s="24"/>
      <c r="J269" s="15" t="s">
        <v>28</v>
      </c>
      <c r="K269" s="15" t="s">
        <v>28</v>
      </c>
      <c r="L269" s="15"/>
      <c r="M269" s="15"/>
      <c r="N269" s="79"/>
      <c r="O269" s="22"/>
      <c r="P269" s="22"/>
      <c r="Q269" s="7"/>
      <c r="R269" s="22"/>
      <c r="S269" s="22"/>
      <c r="T269" s="22"/>
      <c r="U269" s="22"/>
      <c r="V269" s="22"/>
      <c r="W269" s="22"/>
      <c r="X269" s="22"/>
      <c r="Y269" s="22"/>
      <c r="Z269" s="22"/>
      <c r="AA269" s="22"/>
      <c r="AB269" s="22"/>
      <c r="AC269" s="22"/>
      <c r="AD269" s="22"/>
      <c r="AE269" s="22"/>
      <c r="AF269" s="22"/>
    </row>
    <row r="270" spans="1:32" ht="15.75" x14ac:dyDescent="0.25">
      <c r="B270" s="74">
        <f>IF(I270&lt;&gt;"",1+MAX(A$1:$B269),"")</f>
        <v>153</v>
      </c>
      <c r="C270" s="9" t="s">
        <v>215</v>
      </c>
      <c r="D270" s="9"/>
      <c r="E270" s="10" t="s">
        <v>217</v>
      </c>
      <c r="F270" s="13">
        <v>1</v>
      </c>
      <c r="G270" s="26">
        <v>0.1</v>
      </c>
      <c r="H270" s="27">
        <f t="shared" ref="H270" si="130">(1+G270)*F270</f>
        <v>1.1000000000000001</v>
      </c>
      <c r="I270" s="14" t="s">
        <v>22</v>
      </c>
      <c r="J270" s="15">
        <v>1080</v>
      </c>
      <c r="K270" s="15">
        <v>3420</v>
      </c>
      <c r="L270" s="16">
        <f>J270*H270</f>
        <v>1188</v>
      </c>
      <c r="M270" s="29">
        <f>K270*H270</f>
        <v>3762.0000000000005</v>
      </c>
      <c r="N270" s="75">
        <f t="shared" ref="N270" si="131">M270+L270</f>
        <v>4950</v>
      </c>
      <c r="O270" s="1"/>
      <c r="P270" s="1"/>
      <c r="Q270" s="7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</row>
    <row r="271" spans="1:32" ht="15.75" x14ac:dyDescent="0.25">
      <c r="B271" s="74" t="str">
        <f>IF(I271&lt;&gt;"",1+MAX(A$1:$B270),"")</f>
        <v/>
      </c>
      <c r="C271" s="9"/>
      <c r="D271" s="9"/>
      <c r="E271" s="10"/>
      <c r="F271" s="13"/>
      <c r="G271" s="26"/>
      <c r="H271" s="27"/>
      <c r="I271" s="14"/>
      <c r="J271" s="15" t="s">
        <v>28</v>
      </c>
      <c r="K271" s="15" t="s">
        <v>28</v>
      </c>
      <c r="L271" s="16"/>
      <c r="M271" s="29"/>
      <c r="N271" s="75"/>
      <c r="O271" s="1"/>
      <c r="P271" s="1"/>
      <c r="Q271" s="7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</row>
    <row r="272" spans="1:32" ht="15.75" x14ac:dyDescent="0.25">
      <c r="A272" s="28"/>
      <c r="B272" s="74" t="str">
        <f>IF(I272&lt;&gt;"",1+MAX(A$1:$B271),"")</f>
        <v/>
      </c>
      <c r="C272" s="8"/>
      <c r="D272" s="14"/>
      <c r="E272" s="18" t="s">
        <v>2</v>
      </c>
      <c r="F272" s="17"/>
      <c r="G272" s="17"/>
      <c r="H272" s="13"/>
      <c r="I272" s="17"/>
      <c r="J272" s="20" t="s">
        <v>28</v>
      </c>
      <c r="K272" s="20" t="s">
        <v>28</v>
      </c>
      <c r="L272" s="76">
        <f>SUM(L262:L271)</f>
        <v>3844.8</v>
      </c>
      <c r="M272" s="76">
        <f>SUM(M262:M271)</f>
        <v>12175.2</v>
      </c>
      <c r="N272" s="76">
        <f>SUM(N262:N271)</f>
        <v>16020</v>
      </c>
      <c r="O272" s="30"/>
      <c r="P272" s="30"/>
      <c r="Q272" s="7"/>
      <c r="R272" s="30"/>
      <c r="S272" s="30"/>
      <c r="T272" s="30"/>
      <c r="U272" s="30"/>
      <c r="V272" s="30"/>
      <c r="W272" s="30"/>
      <c r="X272" s="30"/>
      <c r="Y272" s="30"/>
      <c r="Z272" s="30"/>
      <c r="AA272" s="30"/>
      <c r="AB272" s="30"/>
      <c r="AC272" s="30"/>
      <c r="AD272" s="30"/>
      <c r="AE272" s="30"/>
      <c r="AF272" s="30"/>
    </row>
    <row r="273" spans="1:32" ht="15.75" x14ac:dyDescent="0.25">
      <c r="B273" s="77" t="str">
        <f>IF(I273&lt;&gt;"",1+MAX(A$1:$B272),"")</f>
        <v/>
      </c>
      <c r="C273" s="31"/>
      <c r="D273" s="70">
        <v>26</v>
      </c>
      <c r="E273" s="71" t="s">
        <v>40</v>
      </c>
      <c r="F273" s="21"/>
      <c r="G273" s="21"/>
      <c r="H273" s="21"/>
      <c r="I273" s="21"/>
      <c r="J273" s="21" t="s">
        <v>28</v>
      </c>
      <c r="K273" s="21" t="s">
        <v>28</v>
      </c>
      <c r="L273" s="21"/>
      <c r="M273" s="21"/>
      <c r="N273" s="78"/>
      <c r="O273" s="22"/>
      <c r="P273" s="1"/>
      <c r="Q273" s="7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</row>
    <row r="274" spans="1:32" ht="15.75" x14ac:dyDescent="0.25">
      <c r="B274" s="74" t="str">
        <f>IF(I274&lt;&gt;"",1+MAX(A$1:$B273),"")</f>
        <v/>
      </c>
      <c r="C274" s="23"/>
      <c r="D274" s="9"/>
      <c r="E274" s="10"/>
      <c r="F274" s="11"/>
      <c r="G274" s="12"/>
      <c r="H274" s="13"/>
      <c r="I274" s="14"/>
      <c r="J274" s="15" t="s">
        <v>28</v>
      </c>
      <c r="K274" s="15" t="s">
        <v>28</v>
      </c>
      <c r="L274" s="16"/>
      <c r="M274" s="16"/>
      <c r="N274" s="75"/>
      <c r="O274" s="94"/>
      <c r="P274" s="1"/>
      <c r="Q274" s="7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</row>
    <row r="275" spans="1:32" ht="15.75" x14ac:dyDescent="0.25">
      <c r="B275" s="74" t="str">
        <f>IF(I275&lt;&gt;"",1+MAX(A$1:$B274),"")</f>
        <v/>
      </c>
      <c r="C275" s="23"/>
      <c r="D275" s="25"/>
      <c r="E275" s="96" t="s">
        <v>218</v>
      </c>
      <c r="F275" s="13"/>
      <c r="G275" s="26"/>
      <c r="H275" s="27"/>
      <c r="I275" s="24"/>
      <c r="J275" s="15" t="s">
        <v>28</v>
      </c>
      <c r="K275" s="15" t="s">
        <v>28</v>
      </c>
      <c r="L275" s="15"/>
      <c r="M275" s="15"/>
      <c r="N275" s="79"/>
      <c r="O275" s="22"/>
      <c r="P275" s="22"/>
      <c r="Q275" s="7"/>
      <c r="R275" s="22"/>
      <c r="S275" s="22"/>
      <c r="T275" s="22"/>
      <c r="U275" s="22"/>
      <c r="V275" s="22"/>
      <c r="W275" s="22"/>
      <c r="X275" s="22"/>
      <c r="Y275" s="22"/>
      <c r="Z275" s="22"/>
      <c r="AA275" s="22"/>
      <c r="AB275" s="22"/>
      <c r="AC275" s="22"/>
      <c r="AD275" s="22"/>
      <c r="AE275" s="22"/>
      <c r="AF275" s="22"/>
    </row>
    <row r="276" spans="1:32" ht="15.75" x14ac:dyDescent="0.25">
      <c r="B276" s="74">
        <f>IF(I276&lt;&gt;"",1+MAX(A$1:$B275),"")</f>
        <v>154</v>
      </c>
      <c r="C276" s="9" t="s">
        <v>200</v>
      </c>
      <c r="D276" s="9"/>
      <c r="E276" s="10" t="s">
        <v>219</v>
      </c>
      <c r="F276" s="13">
        <v>1</v>
      </c>
      <c r="G276" s="26">
        <v>0</v>
      </c>
      <c r="H276" s="27">
        <f t="shared" ref="H276" si="132">(1+G276)*F276</f>
        <v>1</v>
      </c>
      <c r="I276" s="14" t="s">
        <v>22</v>
      </c>
      <c r="J276" s="15">
        <v>6000</v>
      </c>
      <c r="K276" s="15">
        <v>19000</v>
      </c>
      <c r="L276" s="16">
        <f>J276*H276</f>
        <v>6000</v>
      </c>
      <c r="M276" s="29">
        <f>K276*H276</f>
        <v>19000</v>
      </c>
      <c r="N276" s="75">
        <f t="shared" ref="N276" si="133">M276+L276</f>
        <v>25000</v>
      </c>
      <c r="O276" s="1"/>
      <c r="P276" s="1"/>
      <c r="Q276" s="7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</row>
    <row r="277" spans="1:32" ht="15.75" x14ac:dyDescent="0.25">
      <c r="B277" s="74" t="str">
        <f>IF(I277&lt;&gt;"",1+MAX(A$1:$B276),"")</f>
        <v/>
      </c>
      <c r="C277" s="9"/>
      <c r="D277" s="9"/>
      <c r="E277" s="10"/>
      <c r="F277" s="13"/>
      <c r="G277" s="26"/>
      <c r="H277" s="27"/>
      <c r="I277" s="14"/>
      <c r="J277" s="15"/>
      <c r="K277" s="15"/>
      <c r="L277" s="16"/>
      <c r="M277" s="29"/>
      <c r="N277" s="75"/>
      <c r="O277" s="1"/>
      <c r="P277" s="1"/>
      <c r="Q277" s="7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</row>
    <row r="278" spans="1:32" ht="15.75" x14ac:dyDescent="0.25">
      <c r="A278" s="28"/>
      <c r="B278" s="74" t="str">
        <f>IF(I278&lt;&gt;"",1+MAX(A$1:$B277),"")</f>
        <v/>
      </c>
      <c r="C278" s="8"/>
      <c r="D278" s="14"/>
      <c r="E278" s="18" t="s">
        <v>2</v>
      </c>
      <c r="F278" s="17"/>
      <c r="G278" s="17"/>
      <c r="H278" s="13"/>
      <c r="I278" s="17"/>
      <c r="J278" s="20"/>
      <c r="K278" s="20"/>
      <c r="L278" s="76">
        <f>SUM(L275:L277)</f>
        <v>6000</v>
      </c>
      <c r="M278" s="76">
        <f>SUM(M275:M277)</f>
        <v>19000</v>
      </c>
      <c r="N278" s="76">
        <f>SUM(N275:N277)</f>
        <v>25000</v>
      </c>
      <c r="O278" s="30"/>
      <c r="P278" s="30"/>
      <c r="Q278" s="7"/>
      <c r="R278" s="30"/>
      <c r="S278" s="30"/>
      <c r="T278" s="30"/>
      <c r="U278" s="30"/>
      <c r="V278" s="30"/>
      <c r="W278" s="30"/>
      <c r="X278" s="30"/>
      <c r="Y278" s="30"/>
      <c r="Z278" s="30"/>
      <c r="AA278" s="30"/>
      <c r="AB278" s="30"/>
      <c r="AC278" s="30"/>
      <c r="AD278" s="30"/>
      <c r="AE278" s="30"/>
      <c r="AF278" s="30"/>
    </row>
    <row r="279" spans="1:32" ht="15.75" x14ac:dyDescent="0.25">
      <c r="B279" s="80" t="str">
        <f>IF(I279&lt;&gt;"",1+MAX(A$1:$B17),"")</f>
        <v/>
      </c>
      <c r="C279" s="32"/>
      <c r="D279" s="33"/>
      <c r="E279" s="34" t="s">
        <v>31</v>
      </c>
      <c r="F279" s="35"/>
      <c r="G279" s="35"/>
      <c r="H279" s="36"/>
      <c r="I279" s="37"/>
      <c r="J279" s="38"/>
      <c r="K279" s="38"/>
      <c r="L279" s="38"/>
      <c r="M279" s="38"/>
      <c r="N279" s="81">
        <f>SUM(N9:N278)/2</f>
        <v>284973.29909771681</v>
      </c>
    </row>
    <row r="280" spans="1:32" ht="15.75" x14ac:dyDescent="0.25">
      <c r="B280" s="82" t="str">
        <f t="shared" ref="B280:B281" si="134">IF(I280&lt;&gt;"",1+MAX(A$1:$B279),"")</f>
        <v/>
      </c>
      <c r="C280" s="39"/>
      <c r="D280" s="40"/>
      <c r="E280" s="41" t="s">
        <v>239</v>
      </c>
      <c r="F280" s="42"/>
      <c r="G280" s="39"/>
      <c r="H280" s="42"/>
      <c r="I280" s="43"/>
      <c r="J280" s="44">
        <v>0.28000000000000003</v>
      </c>
      <c r="K280" s="44"/>
      <c r="L280" s="44"/>
      <c r="M280" s="44"/>
      <c r="N280" s="95">
        <f>N279*J280</f>
        <v>79792.523747360712</v>
      </c>
    </row>
    <row r="281" spans="1:32" ht="16.5" thickBot="1" x14ac:dyDescent="0.3">
      <c r="B281" s="83" t="str">
        <f t="shared" si="134"/>
        <v/>
      </c>
      <c r="C281" s="45"/>
      <c r="D281" s="46"/>
      <c r="E281" s="47" t="s">
        <v>33</v>
      </c>
      <c r="F281" s="48"/>
      <c r="G281" s="48"/>
      <c r="H281" s="49"/>
      <c r="I281" s="50"/>
      <c r="J281" s="51"/>
      <c r="K281" s="51"/>
      <c r="L281" s="51"/>
      <c r="M281" s="51"/>
      <c r="N281" s="84">
        <f>SUM(N279:N280)</f>
        <v>364765.82284507749</v>
      </c>
    </row>
    <row r="282" spans="1:32" ht="18.75" x14ac:dyDescent="0.3">
      <c r="B282" s="52"/>
      <c r="C282" s="85"/>
      <c r="D282" s="85"/>
      <c r="E282" s="86" t="s">
        <v>34</v>
      </c>
      <c r="F282" s="87"/>
      <c r="G282" s="87"/>
      <c r="H282" s="87"/>
      <c r="I282" s="87"/>
      <c r="J282" s="87"/>
      <c r="K282" s="87"/>
      <c r="L282" s="87"/>
      <c r="M282" s="87"/>
      <c r="N282" s="53"/>
    </row>
    <row r="283" spans="1:32" x14ac:dyDescent="0.25">
      <c r="B283" s="52"/>
      <c r="C283" s="88"/>
      <c r="D283" s="87"/>
      <c r="E283" s="88" t="s">
        <v>35</v>
      </c>
      <c r="F283" s="87"/>
      <c r="G283" s="87"/>
      <c r="H283" s="87"/>
      <c r="I283" s="87"/>
      <c r="J283" s="87"/>
      <c r="K283" s="87"/>
      <c r="L283" s="87"/>
      <c r="M283" s="87"/>
      <c r="N283" s="53"/>
    </row>
    <row r="284" spans="1:32" x14ac:dyDescent="0.25">
      <c r="B284" s="52"/>
      <c r="C284" s="88"/>
      <c r="D284" s="87"/>
      <c r="E284" s="88" t="s">
        <v>36</v>
      </c>
      <c r="F284" s="87"/>
      <c r="G284" s="87"/>
      <c r="H284" s="87"/>
      <c r="I284" s="87"/>
      <c r="J284" s="87"/>
      <c r="K284" s="87"/>
      <c r="L284" s="87"/>
      <c r="M284" s="87"/>
      <c r="N284" s="53"/>
    </row>
    <row r="285" spans="1:32" x14ac:dyDescent="0.25">
      <c r="B285" s="52"/>
      <c r="C285" s="88"/>
      <c r="D285" s="87"/>
      <c r="E285" s="88"/>
      <c r="F285" s="87"/>
      <c r="G285" s="87"/>
      <c r="H285" s="87"/>
      <c r="I285" s="87"/>
      <c r="J285" s="87"/>
      <c r="K285" s="87"/>
      <c r="L285" s="87"/>
      <c r="M285" s="87"/>
      <c r="N285" s="53"/>
    </row>
    <row r="286" spans="1:32" ht="15.75" thickBot="1" x14ac:dyDescent="0.3">
      <c r="B286" s="89"/>
      <c r="C286" s="90"/>
      <c r="D286" s="91"/>
      <c r="E286" s="90"/>
      <c r="F286" s="92"/>
      <c r="G286" s="92"/>
      <c r="H286" s="92"/>
      <c r="I286" s="92"/>
      <c r="J286" s="92"/>
      <c r="K286" s="92"/>
      <c r="L286" s="92"/>
      <c r="M286" s="92"/>
      <c r="N286" s="93"/>
    </row>
  </sheetData>
  <sheetProtection algorithmName="SHA-512" hashValue="Dp6BeLxLTVqjIayPJTxgf+Ya1eQxvrN/sktt0JjmkCkkQLd17KJJ/g6C2vU8IcFXukZIfjBtRVoe2Zt6MbsNvw==" saltValue="jvgB5jgS+Gre8cYaTFxTIA==" spinCount="100000" sheet="1" objects="1" scenarios="1"/>
  <sortState xmlns:xlrd2="http://schemas.microsoft.com/office/spreadsheetml/2017/richdata2" ref="E48:I55">
    <sortCondition ref="E48"/>
  </sortState>
  <mergeCells count="14">
    <mergeCell ref="C10:C16"/>
    <mergeCell ref="B2:C7"/>
    <mergeCell ref="H2:L2"/>
    <mergeCell ref="M2:N2"/>
    <mergeCell ref="M4:N5"/>
    <mergeCell ref="M6:N7"/>
    <mergeCell ref="H4:L5"/>
    <mergeCell ref="H6:L7"/>
    <mergeCell ref="M3:N3"/>
    <mergeCell ref="H3:L3"/>
    <mergeCell ref="E3:G4"/>
    <mergeCell ref="D3:D4"/>
    <mergeCell ref="D5:D6"/>
    <mergeCell ref="E5:G6"/>
  </mergeCells>
  <phoneticPr fontId="16" type="noConversion"/>
  <pageMargins left="0.7" right="0.7" top="0.75" bottom="0.75" header="0" footer="0"/>
  <pageSetup scale="35" fitToHeight="0" orientation="portrait" r:id="rId1"/>
  <rowBreaks count="1" manualBreakCount="1">
    <brk id="137" max="14" man="1"/>
  </rowBreaks>
  <ignoredErrors>
    <ignoredError sqref="B279" formula="1"/>
  </ignoredErrors>
  <drawing r:id="rId2"/>
  <drawing r:id="rIdPELogo"/>
  <picture r:id="rIdPEwm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F71"/>
  <sheetViews>
    <sheetView view="pageBreakPreview" zoomScale="70" zoomScaleNormal="70" zoomScaleSheetLayoutView="70" workbookViewId="0">
      <pane ySplit="8" topLeftCell="A9" activePane="bottomLeft" state="frozen"/>
      <selection pane="bottomLeft" activeCell="E28" sqref="E28"/>
    </sheetView>
  </sheetViews>
  <sheetFormatPr defaultColWidth="14.42578125" defaultRowHeight="15" x14ac:dyDescent="0.25"/>
  <cols>
    <col min="1" max="1" width="3.28515625" customWidth="1"/>
    <col min="2" max="2" width="7.28515625" customWidth="1"/>
    <col min="3" max="3" width="15.85546875" customWidth="1"/>
    <col min="4" max="4" width="15.140625" customWidth="1"/>
    <col min="5" max="5" width="95" bestFit="1" customWidth="1"/>
    <col min="6" max="6" width="10" customWidth="1"/>
    <col min="7" max="7" width="8.7109375" customWidth="1"/>
    <col min="8" max="8" width="9.7109375" customWidth="1"/>
    <col min="9" max="9" width="7.28515625" customWidth="1"/>
    <col min="10" max="10" width="14.7109375" customWidth="1"/>
    <col min="11" max="11" width="11.28515625" customWidth="1"/>
    <col min="12" max="12" width="14.28515625" customWidth="1"/>
    <col min="13" max="13" width="18" customWidth="1"/>
    <col min="14" max="14" width="18.85546875" customWidth="1"/>
    <col min="15" max="15" width="5.85546875" bestFit="1" customWidth="1"/>
    <col min="16" max="32" width="8.7109375" customWidth="1"/>
  </cols>
  <sheetData>
    <row r="1" spans="1:32" ht="16.5" thickBot="1" x14ac:dyDescent="0.3">
      <c r="B1" s="54"/>
      <c r="C1" s="55"/>
      <c r="D1" s="55"/>
      <c r="E1" s="56"/>
      <c r="F1" s="55"/>
      <c r="G1" s="55"/>
      <c r="H1" s="57"/>
      <c r="I1" s="58"/>
      <c r="J1" s="59"/>
      <c r="K1" s="59"/>
      <c r="L1" s="59"/>
      <c r="M1" s="59"/>
      <c r="N1" s="60"/>
      <c r="O1" s="1"/>
      <c r="P1" s="1"/>
      <c r="Q1" s="1"/>
      <c r="R1" s="1"/>
      <c r="S1" s="1"/>
    </row>
    <row r="2" spans="1:32" ht="15.75" x14ac:dyDescent="0.25">
      <c r="A2" s="2"/>
      <c r="B2" s="127"/>
      <c r="C2" s="128"/>
      <c r="D2" s="61"/>
      <c r="E2" s="62"/>
      <c r="F2" s="63"/>
      <c r="G2" s="64"/>
      <c r="H2" s="132"/>
      <c r="I2" s="133"/>
      <c r="J2" s="133"/>
      <c r="K2" s="133"/>
      <c r="L2" s="133"/>
      <c r="M2" s="134" t="s">
        <v>0</v>
      </c>
      <c r="N2" s="135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</row>
    <row r="3" spans="1:32" ht="15.75" x14ac:dyDescent="0.25">
      <c r="A3" s="2"/>
      <c r="B3" s="129"/>
      <c r="C3" s="117"/>
      <c r="D3" s="136" t="s">
        <v>1</v>
      </c>
      <c r="E3" s="115" t="s">
        <v>79</v>
      </c>
      <c r="F3" s="116"/>
      <c r="G3" s="117"/>
      <c r="H3" s="138" t="s">
        <v>2</v>
      </c>
      <c r="I3" s="119"/>
      <c r="J3" s="119"/>
      <c r="K3" s="119"/>
      <c r="L3" s="119"/>
      <c r="M3" s="122">
        <f>N64</f>
        <v>43491.27435</v>
      </c>
      <c r="N3" s="123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</row>
    <row r="4" spans="1:32" x14ac:dyDescent="0.25">
      <c r="A4" s="2"/>
      <c r="B4" s="129"/>
      <c r="C4" s="117"/>
      <c r="D4" s="137"/>
      <c r="E4" s="116"/>
      <c r="F4" s="116"/>
      <c r="G4" s="117"/>
      <c r="H4" s="118" t="s">
        <v>3</v>
      </c>
      <c r="I4" s="119"/>
      <c r="J4" s="119"/>
      <c r="K4" s="119"/>
      <c r="L4" s="119"/>
      <c r="M4" s="122">
        <f>N65</f>
        <v>10872.8185875</v>
      </c>
      <c r="N4" s="123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</row>
    <row r="5" spans="1:32" x14ac:dyDescent="0.25">
      <c r="A5" s="2"/>
      <c r="B5" s="129"/>
      <c r="C5" s="117"/>
      <c r="D5" s="136" t="s">
        <v>4</v>
      </c>
      <c r="E5" s="115" t="s">
        <v>80</v>
      </c>
      <c r="F5" s="116"/>
      <c r="G5" s="117"/>
      <c r="H5" s="139"/>
      <c r="I5" s="119"/>
      <c r="J5" s="119"/>
      <c r="K5" s="119"/>
      <c r="L5" s="119"/>
      <c r="M5" s="119"/>
      <c r="N5" s="123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</row>
    <row r="6" spans="1:32" x14ac:dyDescent="0.25">
      <c r="A6" s="2"/>
      <c r="B6" s="129"/>
      <c r="C6" s="117"/>
      <c r="D6" s="137"/>
      <c r="E6" s="116"/>
      <c r="F6" s="116"/>
      <c r="G6" s="117"/>
      <c r="H6" s="118" t="s">
        <v>5</v>
      </c>
      <c r="I6" s="119"/>
      <c r="J6" s="119"/>
      <c r="K6" s="119"/>
      <c r="L6" s="119"/>
      <c r="M6" s="122">
        <f>N66</f>
        <v>54364.092937499998</v>
      </c>
      <c r="N6" s="123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</row>
    <row r="7" spans="1:32" ht="16.5" thickBot="1" x14ac:dyDescent="0.3">
      <c r="A7" s="2"/>
      <c r="B7" s="130"/>
      <c r="C7" s="131"/>
      <c r="D7" s="3"/>
      <c r="E7" s="65"/>
      <c r="F7" s="66"/>
      <c r="G7" s="4"/>
      <c r="H7" s="120"/>
      <c r="I7" s="121"/>
      <c r="J7" s="121"/>
      <c r="K7" s="121"/>
      <c r="L7" s="121"/>
      <c r="M7" s="121"/>
      <c r="N7" s="124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</row>
    <row r="8" spans="1:32" ht="47.25" x14ac:dyDescent="0.25">
      <c r="B8" s="67" t="s">
        <v>6</v>
      </c>
      <c r="C8" s="5" t="s">
        <v>7</v>
      </c>
      <c r="D8" s="5" t="s">
        <v>8</v>
      </c>
      <c r="E8" s="6" t="s">
        <v>9</v>
      </c>
      <c r="F8" s="5" t="s">
        <v>10</v>
      </c>
      <c r="G8" s="5" t="s">
        <v>11</v>
      </c>
      <c r="H8" s="5" t="s">
        <v>12</v>
      </c>
      <c r="I8" s="5" t="s">
        <v>13</v>
      </c>
      <c r="J8" s="5" t="s">
        <v>14</v>
      </c>
      <c r="K8" s="5" t="s">
        <v>15</v>
      </c>
      <c r="L8" s="5" t="s">
        <v>16</v>
      </c>
      <c r="M8" s="5" t="s">
        <v>17</v>
      </c>
      <c r="N8" s="68" t="s">
        <v>18</v>
      </c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</row>
    <row r="9" spans="1:32" ht="15.75" x14ac:dyDescent="0.25">
      <c r="B9" s="69"/>
      <c r="C9" s="70"/>
      <c r="D9" s="70">
        <v>10000</v>
      </c>
      <c r="E9" s="71" t="s">
        <v>19</v>
      </c>
      <c r="F9" s="72"/>
      <c r="G9" s="72"/>
      <c r="H9" s="72"/>
      <c r="I9" s="72"/>
      <c r="J9" s="72"/>
      <c r="K9" s="72"/>
      <c r="L9" s="72"/>
      <c r="M9" s="72"/>
      <c r="N9" s="73"/>
      <c r="O9" s="1"/>
      <c r="P9" s="1"/>
      <c r="Q9" s="7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</row>
    <row r="10" spans="1:32" ht="15.75" x14ac:dyDescent="0.25">
      <c r="B10" s="74">
        <f>IF(I10&lt;&gt;"",1+MAX(A$1:$B9),"")</f>
        <v>1</v>
      </c>
      <c r="C10" s="125" t="s">
        <v>20</v>
      </c>
      <c r="D10" s="9"/>
      <c r="E10" s="10" t="s">
        <v>21</v>
      </c>
      <c r="F10" s="11">
        <v>1</v>
      </c>
      <c r="G10" s="12">
        <v>0</v>
      </c>
      <c r="H10" s="13">
        <f t="shared" ref="H10:H16" si="0">F10*(1+G10)</f>
        <v>1</v>
      </c>
      <c r="I10" s="14" t="s">
        <v>22</v>
      </c>
      <c r="J10" s="15">
        <v>0</v>
      </c>
      <c r="K10" s="15">
        <v>0</v>
      </c>
      <c r="L10" s="16">
        <f t="shared" ref="L10:L16" si="1">J10*H10</f>
        <v>0</v>
      </c>
      <c r="M10" s="16">
        <f t="shared" ref="M10:M16" si="2">K10*H10</f>
        <v>0</v>
      </c>
      <c r="N10" s="75">
        <f t="shared" ref="N10:N16" si="3">M10+L10</f>
        <v>0</v>
      </c>
      <c r="O10" s="94"/>
      <c r="P10" s="1"/>
      <c r="Q10" s="7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</row>
    <row r="11" spans="1:32" ht="15.75" x14ac:dyDescent="0.25">
      <c r="B11" s="74">
        <f>IF(I11&lt;&gt;"",1+MAX(A$1:$B10),"")</f>
        <v>2</v>
      </c>
      <c r="C11" s="126"/>
      <c r="D11" s="9"/>
      <c r="E11" s="10" t="s">
        <v>23</v>
      </c>
      <c r="F11" s="14">
        <v>1</v>
      </c>
      <c r="G11" s="12">
        <v>0</v>
      </c>
      <c r="H11" s="13">
        <f t="shared" si="0"/>
        <v>1</v>
      </c>
      <c r="I11" s="14" t="s">
        <v>22</v>
      </c>
      <c r="J11" s="15">
        <v>0</v>
      </c>
      <c r="K11" s="15">
        <v>0</v>
      </c>
      <c r="L11" s="16">
        <f t="shared" si="1"/>
        <v>0</v>
      </c>
      <c r="M11" s="16">
        <f t="shared" si="2"/>
        <v>0</v>
      </c>
      <c r="N11" s="75">
        <f t="shared" si="3"/>
        <v>0</v>
      </c>
      <c r="O11" s="1"/>
      <c r="P11" s="1"/>
      <c r="Q11" s="7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</row>
    <row r="12" spans="1:32" ht="15.75" x14ac:dyDescent="0.25">
      <c r="B12" s="74">
        <f>IF(I12&lt;&gt;"",1+MAX(A$1:$B11),"")</f>
        <v>3</v>
      </c>
      <c r="C12" s="126"/>
      <c r="D12" s="9"/>
      <c r="E12" s="10" t="s">
        <v>24</v>
      </c>
      <c r="F12" s="17">
        <v>1</v>
      </c>
      <c r="G12" s="12">
        <v>0</v>
      </c>
      <c r="H12" s="13">
        <f t="shared" si="0"/>
        <v>1</v>
      </c>
      <c r="I12" s="14" t="s">
        <v>22</v>
      </c>
      <c r="J12" s="15">
        <v>0</v>
      </c>
      <c r="K12" s="15">
        <v>0</v>
      </c>
      <c r="L12" s="16">
        <f t="shared" si="1"/>
        <v>0</v>
      </c>
      <c r="M12" s="16">
        <f t="shared" si="2"/>
        <v>0</v>
      </c>
      <c r="N12" s="75">
        <f t="shared" si="3"/>
        <v>0</v>
      </c>
      <c r="O12" s="1"/>
      <c r="P12" s="1"/>
      <c r="Q12" s="7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</row>
    <row r="13" spans="1:32" ht="15.75" x14ac:dyDescent="0.25">
      <c r="B13" s="74">
        <f>IF(I13&lt;&gt;"",1+MAX(A$1:$B12),"")</f>
        <v>4</v>
      </c>
      <c r="C13" s="126"/>
      <c r="D13" s="9"/>
      <c r="E13" s="10" t="s">
        <v>25</v>
      </c>
      <c r="F13" s="17">
        <v>1</v>
      </c>
      <c r="G13" s="12">
        <v>0</v>
      </c>
      <c r="H13" s="13">
        <f t="shared" si="0"/>
        <v>1</v>
      </c>
      <c r="I13" s="14" t="s">
        <v>22</v>
      </c>
      <c r="J13" s="15">
        <v>0</v>
      </c>
      <c r="K13" s="15">
        <v>0</v>
      </c>
      <c r="L13" s="16">
        <f t="shared" si="1"/>
        <v>0</v>
      </c>
      <c r="M13" s="16">
        <f t="shared" si="2"/>
        <v>0</v>
      </c>
      <c r="N13" s="75">
        <f t="shared" si="3"/>
        <v>0</v>
      </c>
      <c r="O13" s="94"/>
      <c r="P13" s="1"/>
      <c r="Q13" s="7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</row>
    <row r="14" spans="1:32" ht="15.75" x14ac:dyDescent="0.25">
      <c r="B14" s="74">
        <f>IF(I14&lt;&gt;"",1+MAX(A$1:$B13),"")</f>
        <v>5</v>
      </c>
      <c r="C14" s="126"/>
      <c r="D14" s="9"/>
      <c r="E14" s="10" t="s">
        <v>25</v>
      </c>
      <c r="F14" s="14">
        <v>1</v>
      </c>
      <c r="G14" s="12">
        <v>0</v>
      </c>
      <c r="H14" s="13">
        <f t="shared" si="0"/>
        <v>1</v>
      </c>
      <c r="I14" s="14" t="s">
        <v>22</v>
      </c>
      <c r="J14" s="15">
        <v>0</v>
      </c>
      <c r="K14" s="15">
        <v>0</v>
      </c>
      <c r="L14" s="16">
        <f t="shared" si="1"/>
        <v>0</v>
      </c>
      <c r="M14" s="16">
        <f t="shared" si="2"/>
        <v>0</v>
      </c>
      <c r="N14" s="75">
        <f t="shared" si="3"/>
        <v>0</v>
      </c>
      <c r="O14" s="1"/>
      <c r="P14" s="1"/>
      <c r="Q14" s="7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</row>
    <row r="15" spans="1:32" ht="15.75" x14ac:dyDescent="0.25">
      <c r="B15" s="74">
        <f>IF(I15&lt;&gt;"",1+MAX(A$1:$B14),"")</f>
        <v>6</v>
      </c>
      <c r="C15" s="126"/>
      <c r="D15" s="14"/>
      <c r="E15" s="10" t="s">
        <v>26</v>
      </c>
      <c r="F15" s="14">
        <v>1</v>
      </c>
      <c r="G15" s="12">
        <v>0</v>
      </c>
      <c r="H15" s="13">
        <f t="shared" si="0"/>
        <v>1</v>
      </c>
      <c r="I15" s="14" t="s">
        <v>22</v>
      </c>
      <c r="J15" s="15">
        <v>0</v>
      </c>
      <c r="K15" s="15">
        <v>0</v>
      </c>
      <c r="L15" s="16">
        <f t="shared" si="1"/>
        <v>0</v>
      </c>
      <c r="M15" s="16">
        <f t="shared" si="2"/>
        <v>0</v>
      </c>
      <c r="N15" s="75">
        <f t="shared" si="3"/>
        <v>0</v>
      </c>
      <c r="O15" s="1"/>
      <c r="P15" s="1"/>
      <c r="Q15" s="7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</row>
    <row r="16" spans="1:32" ht="15.75" x14ac:dyDescent="0.25">
      <c r="B16" s="74">
        <f>IF(I16&lt;&gt;"",1+MAX(A$1:$B15),"")</f>
        <v>7</v>
      </c>
      <c r="C16" s="126"/>
      <c r="D16" s="14"/>
      <c r="E16" s="10" t="s">
        <v>27</v>
      </c>
      <c r="F16" s="14">
        <v>1</v>
      </c>
      <c r="G16" s="12">
        <v>0</v>
      </c>
      <c r="H16" s="13">
        <f t="shared" si="0"/>
        <v>1</v>
      </c>
      <c r="I16" s="14" t="s">
        <v>22</v>
      </c>
      <c r="J16" s="15">
        <v>0</v>
      </c>
      <c r="K16" s="15">
        <v>0</v>
      </c>
      <c r="L16" s="16">
        <f t="shared" si="1"/>
        <v>0</v>
      </c>
      <c r="M16" s="16">
        <f t="shared" si="2"/>
        <v>0</v>
      </c>
      <c r="N16" s="75">
        <f t="shared" si="3"/>
        <v>0</v>
      </c>
      <c r="O16" s="1"/>
      <c r="P16" s="1"/>
      <c r="Q16" s="7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</row>
    <row r="17" spans="2:32" ht="15.75" x14ac:dyDescent="0.25">
      <c r="B17" s="74" t="str">
        <f>IF(I17&lt;&gt;"",1+MAX(A$1:$B16),"")</f>
        <v/>
      </c>
      <c r="C17" s="8"/>
      <c r="D17" s="14"/>
      <c r="E17" s="18" t="s">
        <v>2</v>
      </c>
      <c r="F17" s="17"/>
      <c r="G17" s="17"/>
      <c r="H17" s="13"/>
      <c r="I17" s="17"/>
      <c r="J17" s="19"/>
      <c r="K17" s="19"/>
      <c r="L17" s="20">
        <f>SUM(L10:L16)</f>
        <v>0</v>
      </c>
      <c r="M17" s="19"/>
      <c r="N17" s="76">
        <f>SUM(N10:N16)</f>
        <v>0</v>
      </c>
      <c r="O17" s="1"/>
      <c r="P17" s="1"/>
      <c r="Q17" s="7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</row>
    <row r="18" spans="2:32" ht="15.75" x14ac:dyDescent="0.25">
      <c r="B18" s="77" t="str">
        <f>IF(I18&lt;&gt;"",1+MAX(A$1:$B17),"")</f>
        <v/>
      </c>
      <c r="C18" s="31"/>
      <c r="D18" s="70">
        <v>9</v>
      </c>
      <c r="E18" s="71" t="s">
        <v>43</v>
      </c>
      <c r="F18" s="21"/>
      <c r="G18" s="21"/>
      <c r="H18" s="21"/>
      <c r="I18" s="21"/>
      <c r="J18" s="21"/>
      <c r="K18" s="21"/>
      <c r="L18" s="21"/>
      <c r="M18" s="21"/>
      <c r="N18" s="78"/>
      <c r="O18" s="22"/>
      <c r="P18" s="1"/>
      <c r="Q18" s="7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</row>
    <row r="19" spans="2:32" ht="15.75" x14ac:dyDescent="0.25">
      <c r="B19" s="74" t="str">
        <f>IF(I19&lt;&gt;"",1+MAX(A$1:$B18),"")</f>
        <v/>
      </c>
      <c r="C19" s="23"/>
      <c r="D19" s="9"/>
      <c r="E19" s="10"/>
      <c r="F19" s="11"/>
      <c r="G19" s="12"/>
      <c r="H19" s="13"/>
      <c r="I19" s="14"/>
      <c r="J19" s="15"/>
      <c r="K19" s="15"/>
      <c r="L19" s="16"/>
      <c r="M19" s="16"/>
      <c r="N19" s="75"/>
      <c r="O19" s="94"/>
      <c r="P19" s="1"/>
      <c r="Q19" s="7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</row>
    <row r="20" spans="2:32" ht="15.75" x14ac:dyDescent="0.25">
      <c r="B20" s="74" t="str">
        <f>IF(I20&lt;&gt;"",1+MAX(A$1:$B19),"")</f>
        <v/>
      </c>
      <c r="C20" s="23"/>
      <c r="D20" s="25"/>
      <c r="E20" s="96" t="s">
        <v>44</v>
      </c>
      <c r="F20" s="13"/>
      <c r="G20" s="26"/>
      <c r="H20" s="27"/>
      <c r="I20" s="24"/>
      <c r="J20" s="15"/>
      <c r="K20" s="15"/>
      <c r="L20" s="15"/>
      <c r="M20" s="15"/>
      <c r="N20" s="79"/>
      <c r="O20" s="22"/>
      <c r="P20" s="22"/>
      <c r="Q20" s="7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</row>
    <row r="21" spans="2:32" ht="15.75" x14ac:dyDescent="0.25">
      <c r="B21" s="74">
        <f>IF(I21&lt;&gt;"",1+MAX(A$1:$B20),"")</f>
        <v>8</v>
      </c>
      <c r="C21" s="9" t="s">
        <v>200</v>
      </c>
      <c r="D21" s="9"/>
      <c r="E21" s="10" t="s">
        <v>101</v>
      </c>
      <c r="F21" s="13">
        <v>2272.42</v>
      </c>
      <c r="G21" s="26">
        <v>0.1</v>
      </c>
      <c r="H21" s="27">
        <f t="shared" ref="H21:H22" si="4">(1+G21)*F21</f>
        <v>2499.6620000000003</v>
      </c>
      <c r="I21" s="14" t="s">
        <v>30</v>
      </c>
      <c r="J21" s="15">
        <v>3.28</v>
      </c>
      <c r="K21" s="15">
        <v>4.92</v>
      </c>
      <c r="L21" s="16">
        <f>J21*H21</f>
        <v>8198.8913599999996</v>
      </c>
      <c r="M21" s="29">
        <f>K21*H21</f>
        <v>12298.33704</v>
      </c>
      <c r="N21" s="75">
        <f t="shared" ref="N21:N22" si="5">M21+L21</f>
        <v>20497.2284</v>
      </c>
      <c r="O21" s="1"/>
      <c r="P21" s="1"/>
      <c r="Q21" s="7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</row>
    <row r="22" spans="2:32" ht="15.75" x14ac:dyDescent="0.25">
      <c r="B22" s="74">
        <f>IF(I22&lt;&gt;"",1+MAX(A$1:$B21),"")</f>
        <v>9</v>
      </c>
      <c r="C22" s="9" t="s">
        <v>200</v>
      </c>
      <c r="D22" s="9"/>
      <c r="E22" s="10" t="s">
        <v>102</v>
      </c>
      <c r="F22" s="13">
        <v>252.08</v>
      </c>
      <c r="G22" s="26">
        <v>0.1</v>
      </c>
      <c r="H22" s="27">
        <f t="shared" si="4"/>
        <v>277.28800000000001</v>
      </c>
      <c r="I22" s="14" t="s">
        <v>30</v>
      </c>
      <c r="J22" s="15">
        <v>4.4799999999999995</v>
      </c>
      <c r="K22" s="15">
        <v>6.72</v>
      </c>
      <c r="L22" s="16">
        <f>J22*H22</f>
        <v>1242.2502399999998</v>
      </c>
      <c r="M22" s="29">
        <f>K22*H22</f>
        <v>1863.37536</v>
      </c>
      <c r="N22" s="75">
        <f t="shared" si="5"/>
        <v>3105.6255999999998</v>
      </c>
      <c r="O22" s="1"/>
      <c r="P22" s="1"/>
      <c r="Q22" s="7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</row>
    <row r="23" spans="2:32" ht="15.75" x14ac:dyDescent="0.25">
      <c r="B23" s="74" t="str">
        <f>IF(I23&lt;&gt;"",1+MAX(A$1:$B22),"")</f>
        <v/>
      </c>
      <c r="C23" s="9"/>
      <c r="D23" s="9"/>
      <c r="E23" s="10"/>
      <c r="F23" s="13"/>
      <c r="G23" s="26"/>
      <c r="H23" s="27"/>
      <c r="I23" s="14"/>
      <c r="J23" s="15"/>
      <c r="K23" s="15"/>
      <c r="L23" s="16"/>
      <c r="M23" s="29"/>
      <c r="N23" s="75"/>
      <c r="O23" s="1"/>
      <c r="P23" s="1"/>
      <c r="Q23" s="7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</row>
    <row r="24" spans="2:32" ht="15.75" x14ac:dyDescent="0.25">
      <c r="B24" s="74" t="str">
        <f>IF(I24&lt;&gt;"",1+MAX(A$1:$B23),"")</f>
        <v/>
      </c>
      <c r="C24" s="23"/>
      <c r="D24" s="25"/>
      <c r="E24" s="96" t="s">
        <v>50</v>
      </c>
      <c r="F24" s="13"/>
      <c r="G24" s="26"/>
      <c r="H24" s="27"/>
      <c r="I24" s="24"/>
      <c r="J24" s="15"/>
      <c r="K24" s="15"/>
      <c r="L24" s="15"/>
      <c r="M24" s="15"/>
      <c r="N24" s="79"/>
      <c r="O24" s="22"/>
      <c r="P24" s="22"/>
      <c r="Q24" s="7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</row>
    <row r="25" spans="2:32" ht="15.75" x14ac:dyDescent="0.25">
      <c r="B25" s="74">
        <f>IF(I25&lt;&gt;"",1+MAX(A$1:$B24),"")</f>
        <v>10</v>
      </c>
      <c r="C25" s="9" t="s">
        <v>200</v>
      </c>
      <c r="D25" s="9"/>
      <c r="E25" s="10" t="s">
        <v>202</v>
      </c>
      <c r="F25" s="13">
        <v>1</v>
      </c>
      <c r="G25" s="26">
        <v>0</v>
      </c>
      <c r="H25" s="27">
        <f t="shared" ref="H25:H32" si="6">(1+G25)*F25</f>
        <v>1</v>
      </c>
      <c r="I25" s="14" t="s">
        <v>29</v>
      </c>
      <c r="J25" s="15">
        <v>34</v>
      </c>
      <c r="K25" s="15">
        <v>51</v>
      </c>
      <c r="L25" s="16">
        <f t="shared" ref="L25:L32" si="7">J25*H25</f>
        <v>34</v>
      </c>
      <c r="M25" s="29">
        <f t="shared" ref="M25:M32" si="8">K25*H25</f>
        <v>51</v>
      </c>
      <c r="N25" s="75">
        <f t="shared" ref="N25:N32" si="9">M25+L25</f>
        <v>85</v>
      </c>
      <c r="O25" s="1"/>
      <c r="P25" s="1"/>
      <c r="Q25" s="7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</row>
    <row r="26" spans="2:32" ht="15.75" x14ac:dyDescent="0.25">
      <c r="B26" s="74">
        <f>IF(I26&lt;&gt;"",1+MAX(A$1:$B25),"")</f>
        <v>11</v>
      </c>
      <c r="C26" s="9" t="s">
        <v>200</v>
      </c>
      <c r="D26" s="9"/>
      <c r="E26" s="10" t="s">
        <v>203</v>
      </c>
      <c r="F26" s="13">
        <v>1</v>
      </c>
      <c r="G26" s="26">
        <v>0</v>
      </c>
      <c r="H26" s="27">
        <f t="shared" si="6"/>
        <v>1</v>
      </c>
      <c r="I26" s="14" t="s">
        <v>29</v>
      </c>
      <c r="J26" s="15">
        <v>44</v>
      </c>
      <c r="K26" s="15">
        <v>66</v>
      </c>
      <c r="L26" s="16">
        <f t="shared" si="7"/>
        <v>44</v>
      </c>
      <c r="M26" s="29">
        <f t="shared" si="8"/>
        <v>66</v>
      </c>
      <c r="N26" s="75">
        <f t="shared" si="9"/>
        <v>110</v>
      </c>
      <c r="O26" s="1"/>
      <c r="P26" s="1"/>
      <c r="Q26" s="7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</row>
    <row r="27" spans="2:32" ht="15.75" x14ac:dyDescent="0.25">
      <c r="B27" s="74">
        <f>IF(I27&lt;&gt;"",1+MAX(A$1:$B26),"")</f>
        <v>12</v>
      </c>
      <c r="C27" s="9" t="s">
        <v>200</v>
      </c>
      <c r="D27" s="9"/>
      <c r="E27" s="10" t="s">
        <v>204</v>
      </c>
      <c r="F27" s="13">
        <v>1</v>
      </c>
      <c r="G27" s="26">
        <v>0</v>
      </c>
      <c r="H27" s="27">
        <f t="shared" si="6"/>
        <v>1</v>
      </c>
      <c r="I27" s="14" t="s">
        <v>29</v>
      </c>
      <c r="J27" s="15">
        <v>44</v>
      </c>
      <c r="K27" s="15">
        <v>66</v>
      </c>
      <c r="L27" s="16">
        <f t="shared" si="7"/>
        <v>44</v>
      </c>
      <c r="M27" s="29">
        <f t="shared" si="8"/>
        <v>66</v>
      </c>
      <c r="N27" s="75">
        <f t="shared" si="9"/>
        <v>110</v>
      </c>
      <c r="O27" s="1"/>
      <c r="P27" s="1"/>
      <c r="Q27" s="7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</row>
    <row r="28" spans="2:32" ht="15.75" x14ac:dyDescent="0.25">
      <c r="B28" s="74">
        <f>IF(I28&lt;&gt;"",1+MAX(A$1:$B27),"")</f>
        <v>13</v>
      </c>
      <c r="C28" s="9" t="s">
        <v>200</v>
      </c>
      <c r="D28" s="9"/>
      <c r="E28" s="10" t="s">
        <v>205</v>
      </c>
      <c r="F28" s="13">
        <v>1</v>
      </c>
      <c r="G28" s="26">
        <v>0</v>
      </c>
      <c r="H28" s="27">
        <f t="shared" si="6"/>
        <v>1</v>
      </c>
      <c r="I28" s="14" t="s">
        <v>29</v>
      </c>
      <c r="J28" s="15">
        <v>44</v>
      </c>
      <c r="K28" s="15">
        <v>66</v>
      </c>
      <c r="L28" s="16">
        <f t="shared" si="7"/>
        <v>44</v>
      </c>
      <c r="M28" s="29">
        <f t="shared" si="8"/>
        <v>66</v>
      </c>
      <c r="N28" s="75">
        <f t="shared" si="9"/>
        <v>110</v>
      </c>
      <c r="O28" s="1"/>
      <c r="P28" s="1"/>
      <c r="Q28" s="7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</row>
    <row r="29" spans="2:32" ht="15.75" x14ac:dyDescent="0.25">
      <c r="B29" s="74">
        <f>IF(I29&lt;&gt;"",1+MAX(A$1:$B28),"")</f>
        <v>14</v>
      </c>
      <c r="C29" s="9" t="s">
        <v>200</v>
      </c>
      <c r="D29" s="9"/>
      <c r="E29" s="10" t="s">
        <v>206</v>
      </c>
      <c r="F29" s="13">
        <v>1</v>
      </c>
      <c r="G29" s="26">
        <v>0</v>
      </c>
      <c r="H29" s="27">
        <f t="shared" si="6"/>
        <v>1</v>
      </c>
      <c r="I29" s="14" t="s">
        <v>29</v>
      </c>
      <c r="J29" s="15">
        <v>44</v>
      </c>
      <c r="K29" s="15">
        <v>66</v>
      </c>
      <c r="L29" s="16">
        <f t="shared" si="7"/>
        <v>44</v>
      </c>
      <c r="M29" s="29">
        <f t="shared" si="8"/>
        <v>66</v>
      </c>
      <c r="N29" s="75">
        <f t="shared" si="9"/>
        <v>110</v>
      </c>
      <c r="O29" s="1"/>
      <c r="P29" s="1"/>
      <c r="Q29" s="7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</row>
    <row r="30" spans="2:32" ht="15.75" x14ac:dyDescent="0.25">
      <c r="B30" s="74">
        <f>IF(I30&lt;&gt;"",1+MAX(A$1:$B29),"")</f>
        <v>15</v>
      </c>
      <c r="C30" s="9" t="s">
        <v>200</v>
      </c>
      <c r="D30" s="9"/>
      <c r="E30" s="10" t="s">
        <v>207</v>
      </c>
      <c r="F30" s="13">
        <v>1</v>
      </c>
      <c r="G30" s="26">
        <v>0</v>
      </c>
      <c r="H30" s="27">
        <f t="shared" si="6"/>
        <v>1</v>
      </c>
      <c r="I30" s="14" t="s">
        <v>29</v>
      </c>
      <c r="J30" s="15">
        <v>44</v>
      </c>
      <c r="K30" s="15">
        <v>66</v>
      </c>
      <c r="L30" s="16">
        <f t="shared" si="7"/>
        <v>44</v>
      </c>
      <c r="M30" s="29">
        <f t="shared" si="8"/>
        <v>66</v>
      </c>
      <c r="N30" s="75">
        <f t="shared" si="9"/>
        <v>110</v>
      </c>
      <c r="O30" s="1"/>
      <c r="P30" s="1"/>
      <c r="Q30" s="7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</row>
    <row r="31" spans="2:32" ht="15.75" x14ac:dyDescent="0.25">
      <c r="B31" s="74">
        <f>IF(I31&lt;&gt;"",1+MAX(A$1:$B30),"")</f>
        <v>16</v>
      </c>
      <c r="C31" s="9" t="s">
        <v>200</v>
      </c>
      <c r="D31" s="9"/>
      <c r="E31" s="10" t="s">
        <v>208</v>
      </c>
      <c r="F31" s="13">
        <v>1</v>
      </c>
      <c r="G31" s="26">
        <v>0</v>
      </c>
      <c r="H31" s="27">
        <f t="shared" si="6"/>
        <v>1</v>
      </c>
      <c r="I31" s="14" t="s">
        <v>29</v>
      </c>
      <c r="J31" s="15">
        <v>50</v>
      </c>
      <c r="K31" s="15">
        <v>75</v>
      </c>
      <c r="L31" s="16">
        <f t="shared" si="7"/>
        <v>50</v>
      </c>
      <c r="M31" s="29">
        <f t="shared" si="8"/>
        <v>75</v>
      </c>
      <c r="N31" s="75">
        <f t="shared" si="9"/>
        <v>125</v>
      </c>
      <c r="O31" s="1"/>
      <c r="P31" s="1"/>
      <c r="Q31" s="7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</row>
    <row r="32" spans="2:32" ht="15.75" x14ac:dyDescent="0.25">
      <c r="B32" s="74">
        <f>IF(I32&lt;&gt;"",1+MAX(A$1:$B31),"")</f>
        <v>17</v>
      </c>
      <c r="C32" s="9" t="s">
        <v>200</v>
      </c>
      <c r="D32" s="9"/>
      <c r="E32" s="10" t="s">
        <v>209</v>
      </c>
      <c r="F32" s="13">
        <v>1</v>
      </c>
      <c r="G32" s="26">
        <v>0</v>
      </c>
      <c r="H32" s="27">
        <f t="shared" si="6"/>
        <v>1</v>
      </c>
      <c r="I32" s="14" t="s">
        <v>29</v>
      </c>
      <c r="J32" s="15">
        <v>60</v>
      </c>
      <c r="K32" s="15">
        <v>90</v>
      </c>
      <c r="L32" s="16">
        <f t="shared" si="7"/>
        <v>60</v>
      </c>
      <c r="M32" s="29">
        <f t="shared" si="8"/>
        <v>90</v>
      </c>
      <c r="N32" s="75">
        <f t="shared" si="9"/>
        <v>150</v>
      </c>
      <c r="O32" s="1"/>
      <c r="P32" s="1"/>
      <c r="Q32" s="7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</row>
    <row r="33" spans="2:32" ht="15.75" x14ac:dyDescent="0.25">
      <c r="B33" s="74" t="str">
        <f>IF(I33&lt;&gt;"",1+MAX(A$1:$B32),"")</f>
        <v/>
      </c>
      <c r="C33" s="9"/>
      <c r="D33" s="9"/>
      <c r="E33" s="10"/>
      <c r="F33" s="13"/>
      <c r="G33" s="26"/>
      <c r="H33" s="27"/>
      <c r="I33" s="14"/>
      <c r="J33" s="15"/>
      <c r="K33" s="15"/>
      <c r="L33" s="16"/>
      <c r="M33" s="29"/>
      <c r="N33" s="75"/>
      <c r="O33" s="1"/>
      <c r="P33" s="1"/>
      <c r="Q33" s="7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</row>
    <row r="34" spans="2:32" ht="15.75" x14ac:dyDescent="0.25">
      <c r="B34" s="74" t="str">
        <f>IF(I34&lt;&gt;"",1+MAX(A$1:$B33),"")</f>
        <v/>
      </c>
      <c r="C34" s="23"/>
      <c r="D34" s="25"/>
      <c r="E34" s="96" t="s">
        <v>51</v>
      </c>
      <c r="F34" s="13"/>
      <c r="G34" s="26"/>
      <c r="H34" s="27"/>
      <c r="I34" s="24"/>
      <c r="J34" s="15"/>
      <c r="K34" s="15"/>
      <c r="L34" s="15"/>
      <c r="M34" s="15"/>
      <c r="N34" s="79"/>
      <c r="O34" s="22"/>
      <c r="P34" s="22"/>
      <c r="Q34" s="7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</row>
    <row r="35" spans="2:32" ht="15.75" x14ac:dyDescent="0.25">
      <c r="B35" s="74">
        <f>IF(I35&lt;&gt;"",1+MAX(A$1:$B34),"")</f>
        <v>18</v>
      </c>
      <c r="C35" s="9" t="s">
        <v>200</v>
      </c>
      <c r="D35" s="9"/>
      <c r="E35" s="10" t="s">
        <v>107</v>
      </c>
      <c r="F35" s="13">
        <f>16*94.22</f>
        <v>1507.52</v>
      </c>
      <c r="G35" s="26">
        <v>0.1</v>
      </c>
      <c r="H35" s="27">
        <f t="shared" ref="H35:H41" si="10">(1+G35)*F35</f>
        <v>1658.2720000000002</v>
      </c>
      <c r="I35" s="14" t="s">
        <v>30</v>
      </c>
      <c r="J35" s="15">
        <v>0.60000000000000009</v>
      </c>
      <c r="K35" s="15">
        <v>0.89999999999999991</v>
      </c>
      <c r="L35" s="16">
        <f t="shared" ref="L35:L41" si="11">J35*H35</f>
        <v>994.96320000000026</v>
      </c>
      <c r="M35" s="29">
        <f t="shared" ref="M35:M41" si="12">K35*H35</f>
        <v>1492.4448</v>
      </c>
      <c r="N35" s="75">
        <f t="shared" ref="N35:N41" si="13">M35+L35</f>
        <v>2487.4080000000004</v>
      </c>
      <c r="O35" s="1"/>
      <c r="P35" s="1"/>
      <c r="Q35" s="7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</row>
    <row r="36" spans="2:32" ht="15.75" x14ac:dyDescent="0.25">
      <c r="B36" s="74">
        <f>IF(I36&lt;&gt;"",1+MAX(A$1:$B35),"")</f>
        <v>19</v>
      </c>
      <c r="C36" s="9" t="s">
        <v>200</v>
      </c>
      <c r="D36" s="9"/>
      <c r="E36" s="10" t="s">
        <v>108</v>
      </c>
      <c r="F36" s="13">
        <f>14.83*30.2</f>
        <v>447.86599999999999</v>
      </c>
      <c r="G36" s="26">
        <v>0.1</v>
      </c>
      <c r="H36" s="27">
        <f t="shared" si="10"/>
        <v>492.65260000000001</v>
      </c>
      <c r="I36" s="14" t="s">
        <v>30</v>
      </c>
      <c r="J36" s="15">
        <v>0.60000000000000009</v>
      </c>
      <c r="K36" s="15">
        <v>0.89999999999999991</v>
      </c>
      <c r="L36" s="16">
        <f t="shared" si="11"/>
        <v>295.59156000000007</v>
      </c>
      <c r="M36" s="29">
        <f t="shared" si="12"/>
        <v>443.38733999999994</v>
      </c>
      <c r="N36" s="75">
        <f t="shared" si="13"/>
        <v>738.97890000000007</v>
      </c>
      <c r="O36" s="1"/>
      <c r="P36" s="1"/>
      <c r="Q36" s="7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</row>
    <row r="37" spans="2:32" ht="15.75" x14ac:dyDescent="0.25">
      <c r="B37" s="74">
        <f>IF(I37&lt;&gt;"",1+MAX(A$1:$B36),"")</f>
        <v>20</v>
      </c>
      <c r="C37" s="9" t="s">
        <v>200</v>
      </c>
      <c r="D37" s="9"/>
      <c r="E37" s="10" t="s">
        <v>109</v>
      </c>
      <c r="F37" s="13">
        <f>13.5*104.45</f>
        <v>1410.075</v>
      </c>
      <c r="G37" s="26">
        <v>0.1</v>
      </c>
      <c r="H37" s="27">
        <f t="shared" si="10"/>
        <v>1551.0825000000002</v>
      </c>
      <c r="I37" s="14" t="s">
        <v>30</v>
      </c>
      <c r="J37" s="15">
        <v>0.60000000000000009</v>
      </c>
      <c r="K37" s="15">
        <v>0.89999999999999991</v>
      </c>
      <c r="L37" s="16">
        <f t="shared" si="11"/>
        <v>930.64950000000022</v>
      </c>
      <c r="M37" s="29">
        <f t="shared" si="12"/>
        <v>1395.97425</v>
      </c>
      <c r="N37" s="75">
        <f t="shared" si="13"/>
        <v>2326.6237500000002</v>
      </c>
      <c r="O37" s="1"/>
      <c r="P37" s="1"/>
      <c r="Q37" s="7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</row>
    <row r="38" spans="2:32" ht="15.75" x14ac:dyDescent="0.25">
      <c r="B38" s="74">
        <f>IF(I38&lt;&gt;"",1+MAX(A$1:$B37),"")</f>
        <v>21</v>
      </c>
      <c r="C38" s="9" t="s">
        <v>200</v>
      </c>
      <c r="D38" s="9"/>
      <c r="E38" s="10" t="s">
        <v>110</v>
      </c>
      <c r="F38" s="13">
        <f>3.5*48.89</f>
        <v>171.11500000000001</v>
      </c>
      <c r="G38" s="26">
        <v>0.1</v>
      </c>
      <c r="H38" s="27">
        <f t="shared" si="10"/>
        <v>188.22650000000002</v>
      </c>
      <c r="I38" s="14" t="s">
        <v>30</v>
      </c>
      <c r="J38" s="15">
        <v>0.60000000000000009</v>
      </c>
      <c r="K38" s="15">
        <v>0.89999999999999991</v>
      </c>
      <c r="L38" s="16">
        <f t="shared" si="11"/>
        <v>112.93590000000003</v>
      </c>
      <c r="M38" s="29">
        <f t="shared" si="12"/>
        <v>169.40385000000001</v>
      </c>
      <c r="N38" s="75">
        <f t="shared" si="13"/>
        <v>282.33975000000004</v>
      </c>
      <c r="O38" s="1"/>
      <c r="P38" s="1"/>
      <c r="Q38" s="7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</row>
    <row r="39" spans="2:32" ht="15.75" x14ac:dyDescent="0.25">
      <c r="B39" s="74">
        <f>IF(I39&lt;&gt;"",1+MAX(A$1:$B38),"")</f>
        <v>22</v>
      </c>
      <c r="C39" s="9" t="s">
        <v>200</v>
      </c>
      <c r="D39" s="9"/>
      <c r="E39" s="10" t="s">
        <v>111</v>
      </c>
      <c r="F39" s="13">
        <f>24*49.03</f>
        <v>1176.72</v>
      </c>
      <c r="G39" s="26">
        <v>0.1</v>
      </c>
      <c r="H39" s="27">
        <f t="shared" si="10"/>
        <v>1294.3920000000001</v>
      </c>
      <c r="I39" s="14" t="s">
        <v>30</v>
      </c>
      <c r="J39" s="15">
        <v>0.60000000000000009</v>
      </c>
      <c r="K39" s="15">
        <v>0.89999999999999991</v>
      </c>
      <c r="L39" s="16">
        <f t="shared" si="11"/>
        <v>776.63520000000017</v>
      </c>
      <c r="M39" s="29">
        <f t="shared" si="12"/>
        <v>1164.9528</v>
      </c>
      <c r="N39" s="75">
        <f t="shared" si="13"/>
        <v>1941.5880000000002</v>
      </c>
      <c r="O39" s="1"/>
      <c r="P39" s="1"/>
      <c r="Q39" s="7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</row>
    <row r="40" spans="2:32" ht="15.75" x14ac:dyDescent="0.25">
      <c r="B40" s="74">
        <f>IF(I40&lt;&gt;"",1+MAX(A$1:$B39),"")</f>
        <v>23</v>
      </c>
      <c r="C40" s="9" t="s">
        <v>200</v>
      </c>
      <c r="D40" s="9"/>
      <c r="E40" s="10" t="s">
        <v>112</v>
      </c>
      <c r="F40" s="13">
        <f>8*94.55</f>
        <v>756.4</v>
      </c>
      <c r="G40" s="26">
        <v>0.1</v>
      </c>
      <c r="H40" s="27">
        <f t="shared" si="10"/>
        <v>832.04000000000008</v>
      </c>
      <c r="I40" s="14" t="s">
        <v>30</v>
      </c>
      <c r="J40" s="15">
        <v>0.60000000000000009</v>
      </c>
      <c r="K40" s="15">
        <v>0.89999999999999991</v>
      </c>
      <c r="L40" s="16">
        <f t="shared" si="11"/>
        <v>499.2240000000001</v>
      </c>
      <c r="M40" s="29">
        <f t="shared" si="12"/>
        <v>748.83600000000001</v>
      </c>
      <c r="N40" s="75">
        <f t="shared" si="13"/>
        <v>1248.0600000000002</v>
      </c>
      <c r="O40" s="1"/>
      <c r="P40" s="1"/>
      <c r="Q40" s="7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</row>
    <row r="41" spans="2:32" ht="15.75" x14ac:dyDescent="0.25">
      <c r="B41" s="74">
        <f>IF(I41&lt;&gt;"",1+MAX(A$1:$B40),"")</f>
        <v>24</v>
      </c>
      <c r="C41" s="9" t="s">
        <v>200</v>
      </c>
      <c r="D41" s="9"/>
      <c r="E41" s="10" t="s">
        <v>210</v>
      </c>
      <c r="F41" s="13">
        <f>3*98.02</f>
        <v>294.06</v>
      </c>
      <c r="G41" s="26">
        <v>0.1</v>
      </c>
      <c r="H41" s="27">
        <f t="shared" si="10"/>
        <v>323.46600000000001</v>
      </c>
      <c r="I41" s="14" t="s">
        <v>30</v>
      </c>
      <c r="J41" s="15">
        <v>0.60000000000000009</v>
      </c>
      <c r="K41" s="15">
        <v>0.89999999999999991</v>
      </c>
      <c r="L41" s="16">
        <f t="shared" si="11"/>
        <v>194.07960000000003</v>
      </c>
      <c r="M41" s="29">
        <f t="shared" si="12"/>
        <v>291.11939999999998</v>
      </c>
      <c r="N41" s="75">
        <f t="shared" si="13"/>
        <v>485.19900000000001</v>
      </c>
      <c r="O41" s="1"/>
      <c r="P41" s="1"/>
      <c r="Q41" s="7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</row>
    <row r="42" spans="2:32" ht="15.75" x14ac:dyDescent="0.25">
      <c r="B42" s="74" t="str">
        <f>IF(I42&lt;&gt;"",1+MAX(A$1:$B41),"")</f>
        <v/>
      </c>
      <c r="C42" s="9"/>
      <c r="D42" s="9"/>
      <c r="E42" s="10"/>
      <c r="F42" s="13"/>
      <c r="G42" s="26"/>
      <c r="H42" s="27"/>
      <c r="I42" s="14"/>
      <c r="J42" s="15"/>
      <c r="K42" s="15"/>
      <c r="L42" s="16"/>
      <c r="M42" s="29"/>
      <c r="N42" s="75"/>
      <c r="O42" s="1"/>
      <c r="P42" s="1"/>
      <c r="Q42" s="7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</row>
    <row r="43" spans="2:32" ht="15.75" x14ac:dyDescent="0.25">
      <c r="B43" s="74" t="str">
        <f>IF(I43&lt;&gt;"",1+MAX(A$1:$B42),"")</f>
        <v/>
      </c>
      <c r="C43" s="23"/>
      <c r="D43" s="25"/>
      <c r="E43" s="96" t="s">
        <v>59</v>
      </c>
      <c r="F43" s="13"/>
      <c r="G43" s="26"/>
      <c r="H43" s="27"/>
      <c r="I43" s="24"/>
      <c r="J43" s="15"/>
      <c r="K43" s="15"/>
      <c r="L43" s="15"/>
      <c r="M43" s="15"/>
      <c r="N43" s="79"/>
      <c r="O43" s="22"/>
      <c r="P43" s="22"/>
      <c r="Q43" s="7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</row>
    <row r="44" spans="2:32" ht="15.75" x14ac:dyDescent="0.25">
      <c r="B44" s="74">
        <f>IF(I44&lt;&gt;"",1+MAX(A$1:$B43),"")</f>
        <v>25</v>
      </c>
      <c r="C44" s="9" t="s">
        <v>200</v>
      </c>
      <c r="D44" s="9"/>
      <c r="E44" s="10" t="s">
        <v>114</v>
      </c>
      <c r="F44" s="13">
        <v>2252.84</v>
      </c>
      <c r="G44" s="26">
        <v>0.1</v>
      </c>
      <c r="H44" s="27">
        <f t="shared" ref="H44:H45" si="14">(1+G44)*F44</f>
        <v>2478.1240000000003</v>
      </c>
      <c r="I44" s="14" t="s">
        <v>30</v>
      </c>
      <c r="J44" s="15">
        <v>0.72000000000000008</v>
      </c>
      <c r="K44" s="15">
        <v>1.08</v>
      </c>
      <c r="L44" s="16">
        <f>J44*H44</f>
        <v>1784.2492800000005</v>
      </c>
      <c r="M44" s="29">
        <f>K44*H44</f>
        <v>2676.3739200000005</v>
      </c>
      <c r="N44" s="75">
        <f t="shared" ref="N44:N45" si="15">M44+L44</f>
        <v>4460.6232000000009</v>
      </c>
      <c r="O44" s="1"/>
      <c r="P44" s="1"/>
      <c r="Q44" s="7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</row>
    <row r="45" spans="2:32" ht="15.75" x14ac:dyDescent="0.25">
      <c r="B45" s="74">
        <f>IF(I45&lt;&gt;"",1+MAX(A$1:$B44),"")</f>
        <v>26</v>
      </c>
      <c r="C45" s="9" t="s">
        <v>200</v>
      </c>
      <c r="D45" s="9"/>
      <c r="E45" s="10" t="s">
        <v>78</v>
      </c>
      <c r="F45" s="13">
        <v>324.64999999999998</v>
      </c>
      <c r="G45" s="26">
        <v>0.1</v>
      </c>
      <c r="H45" s="27">
        <f t="shared" si="14"/>
        <v>357.11500000000001</v>
      </c>
      <c r="I45" s="14" t="s">
        <v>30</v>
      </c>
      <c r="J45" s="15">
        <v>0.66</v>
      </c>
      <c r="K45" s="15">
        <v>0.98999999999999988</v>
      </c>
      <c r="L45" s="16">
        <f>J45*H45</f>
        <v>235.69590000000002</v>
      </c>
      <c r="M45" s="29">
        <f>K45*H45</f>
        <v>353.54384999999996</v>
      </c>
      <c r="N45" s="75">
        <f t="shared" si="15"/>
        <v>589.23974999999996</v>
      </c>
      <c r="O45" s="1"/>
      <c r="P45" s="1"/>
      <c r="Q45" s="7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</row>
    <row r="46" spans="2:32" ht="15.75" x14ac:dyDescent="0.25">
      <c r="B46" s="74" t="str">
        <f>IF(I46&lt;&gt;"",1+MAX(A$1:$B45),"")</f>
        <v/>
      </c>
      <c r="C46" s="9"/>
      <c r="D46" s="9"/>
      <c r="E46" s="10"/>
      <c r="F46" s="13"/>
      <c r="G46" s="26"/>
      <c r="H46" s="27"/>
      <c r="I46" s="14"/>
      <c r="J46" s="15"/>
      <c r="K46" s="15"/>
      <c r="L46" s="16"/>
      <c r="M46" s="29"/>
      <c r="N46" s="75"/>
      <c r="O46" s="1"/>
      <c r="P46" s="1"/>
      <c r="Q46" s="7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</row>
    <row r="47" spans="2:32" ht="15.75" x14ac:dyDescent="0.25">
      <c r="B47" s="74" t="str">
        <f>IF(I47&lt;&gt;"",1+MAX(A$1:$B46),"")</f>
        <v/>
      </c>
      <c r="C47" s="23"/>
      <c r="D47" s="25"/>
      <c r="E47" s="96" t="s">
        <v>211</v>
      </c>
      <c r="F47" s="13"/>
      <c r="G47" s="26"/>
      <c r="H47" s="27"/>
      <c r="I47" s="24"/>
      <c r="J47" s="15"/>
      <c r="K47" s="15"/>
      <c r="L47" s="15"/>
      <c r="M47" s="15"/>
      <c r="N47" s="79"/>
      <c r="O47" s="22"/>
      <c r="P47" s="22"/>
      <c r="Q47" s="7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</row>
    <row r="48" spans="2:32" ht="15.75" x14ac:dyDescent="0.25">
      <c r="B48" s="74">
        <f>IF(I48&lt;&gt;"",1+MAX(A$1:$B47),"")</f>
        <v>27</v>
      </c>
      <c r="C48" s="9" t="s">
        <v>200</v>
      </c>
      <c r="D48" s="9"/>
      <c r="E48" s="10" t="s">
        <v>212</v>
      </c>
      <c r="F48" s="13">
        <v>140</v>
      </c>
      <c r="G48" s="26">
        <v>0.1</v>
      </c>
      <c r="H48" s="27">
        <f t="shared" ref="H48:H49" si="16">(1+G48)*F48</f>
        <v>154</v>
      </c>
      <c r="I48" s="14" t="s">
        <v>38</v>
      </c>
      <c r="J48" s="15">
        <v>1.04</v>
      </c>
      <c r="K48" s="15">
        <v>1.56</v>
      </c>
      <c r="L48" s="16">
        <f>J48*H48</f>
        <v>160.16</v>
      </c>
      <c r="M48" s="29">
        <f>K48*H48</f>
        <v>240.24</v>
      </c>
      <c r="N48" s="75">
        <f t="shared" ref="N48:N49" si="17">M48+L48</f>
        <v>400.4</v>
      </c>
      <c r="O48" s="1"/>
      <c r="P48" s="1"/>
      <c r="Q48" s="7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</row>
    <row r="49" spans="1:32" ht="15.75" x14ac:dyDescent="0.25">
      <c r="B49" s="74">
        <f>IF(I49&lt;&gt;"",1+MAX(A$1:$B48),"")</f>
        <v>28</v>
      </c>
      <c r="C49" s="9" t="s">
        <v>200</v>
      </c>
      <c r="D49" s="9"/>
      <c r="E49" s="10" t="s">
        <v>77</v>
      </c>
      <c r="F49" s="13">
        <v>286</v>
      </c>
      <c r="G49" s="26">
        <v>0.1</v>
      </c>
      <c r="H49" s="27">
        <f t="shared" si="16"/>
        <v>314.60000000000002</v>
      </c>
      <c r="I49" s="14" t="s">
        <v>38</v>
      </c>
      <c r="J49" s="15">
        <v>1.04</v>
      </c>
      <c r="K49" s="15">
        <v>1.56</v>
      </c>
      <c r="L49" s="16">
        <f>J49*H49</f>
        <v>327.18400000000003</v>
      </c>
      <c r="M49" s="29">
        <f>K49*H49</f>
        <v>490.77600000000007</v>
      </c>
      <c r="N49" s="75">
        <f t="shared" si="17"/>
        <v>817.96</v>
      </c>
      <c r="O49" s="1"/>
      <c r="P49" s="1"/>
      <c r="Q49" s="7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</row>
    <row r="50" spans="1:32" ht="15.75" x14ac:dyDescent="0.25">
      <c r="B50" s="74" t="str">
        <f>IF(I50&lt;&gt;"",1+MAX(A$1:$B49),"")</f>
        <v/>
      </c>
      <c r="C50" s="9"/>
      <c r="D50" s="9"/>
      <c r="E50" s="10"/>
      <c r="F50" s="13"/>
      <c r="G50" s="26"/>
      <c r="H50" s="27"/>
      <c r="I50" s="14"/>
      <c r="J50" s="15"/>
      <c r="K50" s="15"/>
      <c r="L50" s="16"/>
      <c r="M50" s="29"/>
      <c r="N50" s="75"/>
      <c r="O50" s="1"/>
      <c r="P50" s="1"/>
      <c r="Q50" s="7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</row>
    <row r="51" spans="1:32" ht="15.75" x14ac:dyDescent="0.25">
      <c r="A51" s="28"/>
      <c r="B51" s="74" t="str">
        <f>IF(I51&lt;&gt;"",1+MAX(A$1:$B50),"")</f>
        <v/>
      </c>
      <c r="C51" s="8"/>
      <c r="D51" s="14"/>
      <c r="E51" s="18" t="s">
        <v>2</v>
      </c>
      <c r="F51" s="17"/>
      <c r="G51" s="17"/>
      <c r="H51" s="13"/>
      <c r="I51" s="17"/>
      <c r="J51" s="20"/>
      <c r="K51" s="20"/>
      <c r="L51" s="76">
        <f>SUM(L19:L49)</f>
        <v>16116.509740000001</v>
      </c>
      <c r="M51" s="76">
        <f>SUM(M19:M49)</f>
        <v>24174.764609999998</v>
      </c>
      <c r="N51" s="76">
        <f>SUM(N19:N49)</f>
        <v>40291.27435</v>
      </c>
      <c r="O51" s="30"/>
      <c r="P51" s="30"/>
      <c r="Q51" s="7"/>
      <c r="R51" s="30"/>
      <c r="S51" s="30"/>
      <c r="T51" s="30"/>
      <c r="U51" s="30"/>
      <c r="V51" s="30"/>
      <c r="W51" s="30"/>
      <c r="X51" s="30"/>
      <c r="Y51" s="30"/>
      <c r="Z51" s="30"/>
      <c r="AA51" s="30"/>
      <c r="AB51" s="30"/>
      <c r="AC51" s="30"/>
      <c r="AD51" s="30"/>
      <c r="AE51" s="30"/>
      <c r="AF51" s="30"/>
    </row>
    <row r="52" spans="1:32" ht="15.75" x14ac:dyDescent="0.25">
      <c r="B52" s="77" t="str">
        <f>IF(I52&lt;&gt;"",1+MAX(A$1:$B51),"")</f>
        <v/>
      </c>
      <c r="C52" s="70"/>
      <c r="D52" s="70">
        <v>21</v>
      </c>
      <c r="E52" s="71" t="s">
        <v>234</v>
      </c>
      <c r="F52" s="21"/>
      <c r="G52" s="21"/>
      <c r="H52" s="21"/>
      <c r="I52" s="21"/>
      <c r="J52" s="21"/>
      <c r="K52" s="21"/>
      <c r="L52" s="21"/>
      <c r="M52" s="21"/>
      <c r="N52" s="78"/>
      <c r="O52" s="22"/>
      <c r="P52" s="1"/>
      <c r="Q52" s="7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</row>
    <row r="53" spans="1:32" ht="15.75" x14ac:dyDescent="0.25">
      <c r="B53" s="74" t="str">
        <f>IF(I53&lt;&gt;"",1+MAX(A$1:$B52),"")</f>
        <v/>
      </c>
      <c r="C53" s="23"/>
      <c r="D53" s="9"/>
      <c r="E53" s="10"/>
      <c r="F53" s="11"/>
      <c r="G53" s="12"/>
      <c r="H53" s="13"/>
      <c r="I53" s="14"/>
      <c r="J53" s="15"/>
      <c r="K53" s="15"/>
      <c r="L53" s="16"/>
      <c r="M53" s="16"/>
      <c r="N53" s="75"/>
      <c r="O53" s="94"/>
      <c r="P53" s="1"/>
      <c r="Q53" s="7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</row>
    <row r="54" spans="1:32" ht="15.75" x14ac:dyDescent="0.25">
      <c r="B54" s="74" t="str">
        <f>IF(I54&lt;&gt;"",1+MAX(A$1:$B53),"")</f>
        <v/>
      </c>
      <c r="C54" s="23"/>
      <c r="D54" s="25"/>
      <c r="E54" s="96" t="s">
        <v>218</v>
      </c>
      <c r="F54" s="13"/>
      <c r="G54" s="26"/>
      <c r="H54" s="27"/>
      <c r="I54" s="24"/>
      <c r="J54" s="15"/>
      <c r="K54" s="15"/>
      <c r="L54" s="15"/>
      <c r="M54" s="15"/>
      <c r="N54" s="79"/>
      <c r="O54" s="22"/>
      <c r="P54" s="22"/>
      <c r="Q54" s="7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</row>
    <row r="55" spans="1:32" ht="15.75" x14ac:dyDescent="0.25">
      <c r="B55" s="74">
        <f>IF(I55&lt;&gt;"",1+MAX(A$1:$B54),"")</f>
        <v>29</v>
      </c>
      <c r="C55" s="9" t="s">
        <v>200</v>
      </c>
      <c r="D55" s="9"/>
      <c r="E55" s="10" t="s">
        <v>235</v>
      </c>
      <c r="F55" s="13">
        <v>1</v>
      </c>
      <c r="G55" s="26">
        <v>0</v>
      </c>
      <c r="H55" s="27">
        <f t="shared" ref="H55" si="18">(1+G55)*F55</f>
        <v>1</v>
      </c>
      <c r="I55" s="14" t="s">
        <v>22</v>
      </c>
      <c r="J55" s="15">
        <v>363</v>
      </c>
      <c r="K55" s="15">
        <v>1287</v>
      </c>
      <c r="L55" s="16">
        <f>J55*H55</f>
        <v>363</v>
      </c>
      <c r="M55" s="29">
        <f>K55*H55</f>
        <v>1287</v>
      </c>
      <c r="N55" s="75">
        <f t="shared" ref="N55" si="19">M55+L55</f>
        <v>1650</v>
      </c>
      <c r="O55" s="1"/>
      <c r="P55" s="1"/>
      <c r="Q55" s="7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</row>
    <row r="56" spans="1:32" ht="15.75" x14ac:dyDescent="0.25">
      <c r="B56" s="74" t="str">
        <f>IF(I56&lt;&gt;"",1+MAX(A$1:$B55),"")</f>
        <v/>
      </c>
      <c r="C56" s="9"/>
      <c r="D56" s="9"/>
      <c r="E56" s="10"/>
      <c r="F56" s="13"/>
      <c r="G56" s="26"/>
      <c r="H56" s="27"/>
      <c r="I56" s="14"/>
      <c r="J56" s="15"/>
      <c r="K56" s="15"/>
      <c r="L56" s="16"/>
      <c r="M56" s="29"/>
      <c r="N56" s="75"/>
      <c r="O56" s="1"/>
      <c r="P56" s="1"/>
      <c r="Q56" s="7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</row>
    <row r="57" spans="1:32" ht="15.75" x14ac:dyDescent="0.25">
      <c r="A57" s="28"/>
      <c r="B57" s="74" t="str">
        <f>IF(I57&lt;&gt;"",1+MAX(A$1:$B56),"")</f>
        <v/>
      </c>
      <c r="C57" s="8"/>
      <c r="D57" s="14"/>
      <c r="E57" s="18" t="s">
        <v>2</v>
      </c>
      <c r="F57" s="17"/>
      <c r="G57" s="17"/>
      <c r="H57" s="13"/>
      <c r="I57" s="17"/>
      <c r="J57" s="20"/>
      <c r="K57" s="20"/>
      <c r="L57" s="76">
        <f>SUM(L54:L56)</f>
        <v>363</v>
      </c>
      <c r="M57" s="76">
        <f>SUM(M54:M56)</f>
        <v>1287</v>
      </c>
      <c r="N57" s="76">
        <f>SUM(N54:N56)</f>
        <v>1650</v>
      </c>
      <c r="O57" s="30"/>
      <c r="P57" s="30"/>
      <c r="Q57" s="7"/>
      <c r="R57" s="30"/>
      <c r="S57" s="30"/>
      <c r="T57" s="30"/>
      <c r="U57" s="30"/>
      <c r="V57" s="30"/>
      <c r="W57" s="30"/>
      <c r="X57" s="30"/>
      <c r="Y57" s="30"/>
      <c r="Z57" s="30"/>
      <c r="AA57" s="30"/>
      <c r="AB57" s="30"/>
      <c r="AC57" s="30"/>
      <c r="AD57" s="30"/>
      <c r="AE57" s="30"/>
      <c r="AF57" s="30"/>
    </row>
    <row r="58" spans="1:32" ht="15.75" x14ac:dyDescent="0.25">
      <c r="B58" s="77" t="str">
        <f>IF(I58&lt;&gt;"",1+MAX(A$1:$B57),"")</f>
        <v/>
      </c>
      <c r="C58" s="70"/>
      <c r="D58" s="70">
        <v>28</v>
      </c>
      <c r="E58" s="71" t="s">
        <v>54</v>
      </c>
      <c r="F58" s="21"/>
      <c r="G58" s="21"/>
      <c r="H58" s="21"/>
      <c r="I58" s="21"/>
      <c r="J58" s="21"/>
      <c r="K58" s="21"/>
      <c r="L58" s="21"/>
      <c r="M58" s="21"/>
      <c r="N58" s="78"/>
      <c r="O58" s="22"/>
      <c r="P58" s="1"/>
      <c r="Q58" s="7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</row>
    <row r="59" spans="1:32" ht="15.75" x14ac:dyDescent="0.25">
      <c r="B59" s="74" t="str">
        <f>IF(I59&lt;&gt;"",1+MAX(A$1:$B58),"")</f>
        <v/>
      </c>
      <c r="C59" s="23"/>
      <c r="D59" s="9"/>
      <c r="E59" s="10"/>
      <c r="F59" s="11"/>
      <c r="G59" s="12"/>
      <c r="H59" s="13"/>
      <c r="I59" s="14"/>
      <c r="J59" s="15"/>
      <c r="K59" s="15"/>
      <c r="L59" s="16"/>
      <c r="M59" s="16"/>
      <c r="N59" s="75"/>
      <c r="O59" s="94"/>
      <c r="P59" s="1"/>
      <c r="Q59" s="7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</row>
    <row r="60" spans="1:32" ht="15.75" x14ac:dyDescent="0.25">
      <c r="B60" s="74" t="str">
        <f>IF(I60&lt;&gt;"",1+MAX(A$1:$B59),"")</f>
        <v/>
      </c>
      <c r="C60" s="23"/>
      <c r="D60" s="25"/>
      <c r="E60" s="96" t="s">
        <v>218</v>
      </c>
      <c r="F60" s="13"/>
      <c r="G60" s="26"/>
      <c r="H60" s="27"/>
      <c r="I60" s="24"/>
      <c r="J60" s="15"/>
      <c r="K60" s="15"/>
      <c r="L60" s="15"/>
      <c r="M60" s="15"/>
      <c r="N60" s="79"/>
      <c r="O60" s="22"/>
      <c r="P60" s="22"/>
      <c r="Q60" s="7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</row>
    <row r="61" spans="1:32" ht="15.75" x14ac:dyDescent="0.25">
      <c r="B61" s="74">
        <f>IF(I61&lt;&gt;"",1+MAX(A$1:$B60),"")</f>
        <v>30</v>
      </c>
      <c r="C61" s="9" t="s">
        <v>200</v>
      </c>
      <c r="D61" s="9"/>
      <c r="E61" s="10" t="s">
        <v>220</v>
      </c>
      <c r="F61" s="13">
        <v>1</v>
      </c>
      <c r="G61" s="26">
        <v>0</v>
      </c>
      <c r="H61" s="27">
        <f t="shared" ref="H61" si="20">(1+G61)*F61</f>
        <v>1</v>
      </c>
      <c r="I61" s="14" t="s">
        <v>22</v>
      </c>
      <c r="J61" s="15">
        <v>341</v>
      </c>
      <c r="K61" s="15">
        <v>1209</v>
      </c>
      <c r="L61" s="16">
        <f>J61*H61</f>
        <v>341</v>
      </c>
      <c r="M61" s="29">
        <f>K61*H61</f>
        <v>1209</v>
      </c>
      <c r="N61" s="75">
        <f t="shared" ref="N61" si="21">M61+L61</f>
        <v>1550</v>
      </c>
      <c r="O61" s="1"/>
      <c r="P61" s="1"/>
      <c r="Q61" s="7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</row>
    <row r="62" spans="1:32" ht="15.75" x14ac:dyDescent="0.25">
      <c r="B62" s="74" t="str">
        <f>IF(I62&lt;&gt;"",1+MAX(A$1:$B61),"")</f>
        <v/>
      </c>
      <c r="C62" s="9"/>
      <c r="D62" s="9"/>
      <c r="E62" s="10"/>
      <c r="F62" s="13"/>
      <c r="G62" s="26"/>
      <c r="H62" s="27"/>
      <c r="I62" s="14"/>
      <c r="J62" s="15"/>
      <c r="K62" s="15"/>
      <c r="L62" s="100"/>
      <c r="M62" s="101"/>
      <c r="N62" s="75"/>
      <c r="O62" s="1"/>
      <c r="P62" s="1"/>
      <c r="Q62" s="7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</row>
    <row r="63" spans="1:32" ht="15.75" x14ac:dyDescent="0.25">
      <c r="A63" s="28"/>
      <c r="B63" s="74" t="str">
        <f>IF(I63&lt;&gt;"",1+MAX(A$1:$B61),"")</f>
        <v/>
      </c>
      <c r="C63" s="8"/>
      <c r="D63" s="14"/>
      <c r="E63" s="18" t="s">
        <v>2</v>
      </c>
      <c r="F63" s="17"/>
      <c r="G63" s="17"/>
      <c r="H63" s="13"/>
      <c r="I63" s="17"/>
      <c r="J63" s="20"/>
      <c r="K63" s="20"/>
      <c r="L63" s="76">
        <f>SUM(L60:L62)</f>
        <v>341</v>
      </c>
      <c r="M63" s="76">
        <f>SUM(M60:M62)</f>
        <v>1209</v>
      </c>
      <c r="N63" s="76">
        <f>SUM(N60:N62)</f>
        <v>1550</v>
      </c>
      <c r="O63" s="30"/>
      <c r="P63" s="30"/>
      <c r="Q63" s="7"/>
      <c r="R63" s="30"/>
      <c r="S63" s="30"/>
      <c r="T63" s="30"/>
      <c r="U63" s="30"/>
      <c r="V63" s="30"/>
      <c r="W63" s="30"/>
      <c r="X63" s="30"/>
      <c r="Y63" s="30"/>
      <c r="Z63" s="30"/>
      <c r="AA63" s="30"/>
      <c r="AB63" s="30"/>
      <c r="AC63" s="30"/>
      <c r="AD63" s="30"/>
      <c r="AE63" s="30"/>
      <c r="AF63" s="30"/>
    </row>
    <row r="64" spans="1:32" ht="15.75" x14ac:dyDescent="0.25">
      <c r="B64" s="80" t="str">
        <f>IF(I64&lt;&gt;"",1+MAX(A$1:$B17),"")</f>
        <v/>
      </c>
      <c r="C64" s="32"/>
      <c r="D64" s="33"/>
      <c r="E64" s="34" t="s">
        <v>31</v>
      </c>
      <c r="F64" s="35"/>
      <c r="G64" s="35"/>
      <c r="H64" s="36"/>
      <c r="I64" s="37"/>
      <c r="J64" s="38"/>
      <c r="K64" s="38"/>
      <c r="L64" s="38"/>
      <c r="M64" s="38"/>
      <c r="N64" s="81">
        <f>SUM(N9:N63)/2</f>
        <v>43491.27435</v>
      </c>
    </row>
    <row r="65" spans="2:14" ht="15.75" x14ac:dyDescent="0.25">
      <c r="B65" s="82" t="str">
        <f t="shared" ref="B65:B66" si="22">IF(I65&lt;&gt;"",1+MAX(A$1:$B64),"")</f>
        <v/>
      </c>
      <c r="C65" s="39"/>
      <c r="D65" s="40"/>
      <c r="E65" s="41" t="s">
        <v>32</v>
      </c>
      <c r="F65" s="42"/>
      <c r="G65" s="39"/>
      <c r="H65" s="42"/>
      <c r="I65" s="43"/>
      <c r="J65" s="44">
        <v>0.25</v>
      </c>
      <c r="K65" s="44"/>
      <c r="L65" s="44"/>
      <c r="M65" s="44"/>
      <c r="N65" s="95">
        <f>N64*J65</f>
        <v>10872.8185875</v>
      </c>
    </row>
    <row r="66" spans="2:14" ht="16.5" thickBot="1" x14ac:dyDescent="0.3">
      <c r="B66" s="83" t="str">
        <f t="shared" si="22"/>
        <v/>
      </c>
      <c r="C66" s="45"/>
      <c r="D66" s="46"/>
      <c r="E66" s="47" t="s">
        <v>33</v>
      </c>
      <c r="F66" s="48"/>
      <c r="G66" s="48"/>
      <c r="H66" s="49"/>
      <c r="I66" s="50"/>
      <c r="J66" s="51"/>
      <c r="K66" s="51"/>
      <c r="L66" s="51"/>
      <c r="M66" s="51"/>
      <c r="N66" s="84">
        <f>SUM(N64:N65)</f>
        <v>54364.092937499998</v>
      </c>
    </row>
    <row r="67" spans="2:14" ht="18.75" x14ac:dyDescent="0.3">
      <c r="B67" s="52"/>
      <c r="C67" s="85"/>
      <c r="D67" s="85"/>
      <c r="E67" s="86" t="s">
        <v>34</v>
      </c>
      <c r="F67" s="87"/>
      <c r="G67" s="87"/>
      <c r="H67" s="87"/>
      <c r="I67" s="87"/>
      <c r="J67" s="87"/>
      <c r="K67" s="87"/>
      <c r="L67" s="87"/>
      <c r="M67" s="87"/>
      <c r="N67" s="53"/>
    </row>
    <row r="68" spans="2:14" x14ac:dyDescent="0.25">
      <c r="B68" s="52"/>
      <c r="C68" s="88"/>
      <c r="D68" s="87"/>
      <c r="E68" s="88" t="s">
        <v>35</v>
      </c>
      <c r="F68" s="87"/>
      <c r="G68" s="87"/>
      <c r="H68" s="87"/>
      <c r="I68" s="87"/>
      <c r="J68" s="87"/>
      <c r="K68" s="87"/>
      <c r="L68" s="87"/>
      <c r="M68" s="87"/>
      <c r="N68" s="53"/>
    </row>
    <row r="69" spans="2:14" x14ac:dyDescent="0.25">
      <c r="B69" s="52"/>
      <c r="C69" s="88"/>
      <c r="D69" s="87"/>
      <c r="E69" s="88" t="s">
        <v>36</v>
      </c>
      <c r="F69" s="87"/>
      <c r="G69" s="87"/>
      <c r="H69" s="87"/>
      <c r="I69" s="87"/>
      <c r="J69" s="87"/>
      <c r="K69" s="87"/>
      <c r="L69" s="87"/>
      <c r="M69" s="87"/>
      <c r="N69" s="53"/>
    </row>
    <row r="70" spans="2:14" x14ac:dyDescent="0.25">
      <c r="B70" s="52"/>
      <c r="C70" s="88"/>
      <c r="D70" s="87"/>
      <c r="E70" s="88"/>
      <c r="F70" s="87"/>
      <c r="G70" s="87"/>
      <c r="H70" s="87"/>
      <c r="I70" s="87"/>
      <c r="J70" s="87"/>
      <c r="K70" s="87"/>
      <c r="L70" s="87"/>
      <c r="M70" s="87"/>
      <c r="N70" s="53"/>
    </row>
    <row r="71" spans="2:14" ht="15.75" thickBot="1" x14ac:dyDescent="0.3">
      <c r="B71" s="89"/>
      <c r="C71" s="90"/>
      <c r="D71" s="91"/>
      <c r="E71" s="90"/>
      <c r="F71" s="92"/>
      <c r="G71" s="92"/>
      <c r="H71" s="92"/>
      <c r="I71" s="92"/>
      <c r="J71" s="92"/>
      <c r="K71" s="92"/>
      <c r="L71" s="92"/>
      <c r="M71" s="92"/>
      <c r="N71" s="93"/>
    </row>
  </sheetData>
  <sheetProtection algorithmName="SHA-512" hashValue="r3NEBzGdNp9qZ6sBtj8q8Up4usjILDdhw9q0DV36dSm9LgAqRe79Uf7Xnyo4tgjr4BOmFdHULCh/lO04mjJqFA==" saltValue="Wa1z6UcCnV+IakHLNP/7/A==" spinCount="100000" sheet="1" objects="1" scenarios="1"/>
  <mergeCells count="14">
    <mergeCell ref="E5:G6"/>
    <mergeCell ref="H6:L7"/>
    <mergeCell ref="M6:N7"/>
    <mergeCell ref="C10:C16"/>
    <mergeCell ref="B2:C7"/>
    <mergeCell ref="H2:L2"/>
    <mergeCell ref="M2:N2"/>
    <mergeCell ref="D3:D4"/>
    <mergeCell ref="E3:G4"/>
    <mergeCell ref="H3:L3"/>
    <mergeCell ref="M3:N3"/>
    <mergeCell ref="H4:L5"/>
    <mergeCell ref="M4:N5"/>
    <mergeCell ref="D5:D6"/>
  </mergeCells>
  <pageMargins left="0.7" right="0.7" top="0.75" bottom="0.75" header="0" footer="0"/>
  <pageSetup scale="35" fitToHeight="0" orientation="portrait" r:id="rId1"/>
  <drawing r:id="rId2"/>
  <drawing r:id="rIdPELogo"/>
  <picture r:id="rIdPEwm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T12"/>
  <sheetViews>
    <sheetView workbookViewId="0">
      <selection activeCell="N35" sqref="N35"/>
    </sheetView>
  </sheetViews>
  <sheetFormatPr defaultRowHeight="15" x14ac:dyDescent="0.25"/>
  <cols>
    <col min="4" max="4" width="20.7109375" customWidth="1"/>
    <col min="5" max="5" width="12.5703125" bestFit="1" customWidth="1"/>
    <col min="7" max="7" width="35.42578125" customWidth="1"/>
  </cols>
  <sheetData>
    <row r="2" spans="1:20" ht="15.75" thickBot="1" x14ac:dyDescent="0.3"/>
    <row r="3" spans="1:20" ht="15.75" x14ac:dyDescent="0.25">
      <c r="A3" s="2"/>
      <c r="B3" s="148"/>
      <c r="C3" s="149"/>
      <c r="D3" s="105"/>
      <c r="E3" s="106"/>
      <c r="F3" s="107"/>
      <c r="G3" s="108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 x14ac:dyDescent="0.25">
      <c r="A4" s="2"/>
      <c r="B4" s="129"/>
      <c r="C4" s="117"/>
      <c r="D4" s="136" t="s">
        <v>1</v>
      </c>
      <c r="E4" s="115" t="s">
        <v>79</v>
      </c>
      <c r="F4" s="116"/>
      <c r="G4" s="143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 x14ac:dyDescent="0.25">
      <c r="A5" s="2"/>
      <c r="B5" s="129"/>
      <c r="C5" s="117"/>
      <c r="D5" s="137"/>
      <c r="E5" s="116"/>
      <c r="F5" s="116"/>
      <c r="G5" s="143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 x14ac:dyDescent="0.25">
      <c r="A6" s="2"/>
      <c r="B6" s="129"/>
      <c r="C6" s="117"/>
      <c r="D6" s="136" t="s">
        <v>4</v>
      </c>
      <c r="E6" s="115" t="s">
        <v>80</v>
      </c>
      <c r="F6" s="116"/>
      <c r="G6" s="143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 x14ac:dyDescent="0.25">
      <c r="A7" s="2"/>
      <c r="B7" s="129"/>
      <c r="C7" s="117"/>
      <c r="D7" s="137"/>
      <c r="E7" s="116"/>
      <c r="F7" s="116"/>
      <c r="G7" s="143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 ht="15.75" x14ac:dyDescent="0.25">
      <c r="A8" s="2"/>
      <c r="B8" s="129"/>
      <c r="C8" s="117"/>
      <c r="D8" s="102"/>
      <c r="E8" s="103"/>
      <c r="F8" s="104"/>
      <c r="G8" s="109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 x14ac:dyDescent="0.25">
      <c r="B9" s="110" t="s">
        <v>240</v>
      </c>
      <c r="C9" s="144" t="s">
        <v>9</v>
      </c>
      <c r="D9" s="145"/>
      <c r="E9" s="145"/>
      <c r="F9" s="145"/>
      <c r="G9" s="111" t="s">
        <v>243</v>
      </c>
    </row>
    <row r="10" spans="1:20" x14ac:dyDescent="0.25">
      <c r="B10" s="112">
        <v>1</v>
      </c>
      <c r="C10" s="146" t="s">
        <v>241</v>
      </c>
      <c r="D10" s="147"/>
      <c r="E10" s="147"/>
      <c r="F10" s="147"/>
      <c r="G10" s="114">
        <f>'BASE BID'!N281</f>
        <v>364765.82284507749</v>
      </c>
    </row>
    <row r="11" spans="1:20" x14ac:dyDescent="0.25">
      <c r="B11" s="112">
        <v>2</v>
      </c>
      <c r="C11" s="146" t="s">
        <v>242</v>
      </c>
      <c r="D11" s="147"/>
      <c r="E11" s="147"/>
      <c r="F11" s="147"/>
      <c r="G11" s="114">
        <f>'DEFERRED SUBMITTAL'!N66</f>
        <v>54364.092937499998</v>
      </c>
    </row>
    <row r="12" spans="1:20" ht="15.75" thickBot="1" x14ac:dyDescent="0.3">
      <c r="B12" s="140" t="s">
        <v>243</v>
      </c>
      <c r="C12" s="141"/>
      <c r="D12" s="141"/>
      <c r="E12" s="141"/>
      <c r="F12" s="142"/>
      <c r="G12" s="113">
        <f>SUM(G10:G11)</f>
        <v>419129.91578257747</v>
      </c>
    </row>
  </sheetData>
  <sheetProtection algorithmName="SHA-512" hashValue="pN4uNyx5ON9o1GlQhM29NUhXJFV3VdOSnUy0nifcMUsQLEMkce7EFeHqZdkUWujxEuof8O9s/UvIoSTUXjxIGA==" saltValue="fBDi7vNCY0k0bNBw/wXPsQ==" spinCount="100000" sheet="1" objects="1" scenarios="1"/>
  <mergeCells count="9">
    <mergeCell ref="B12:F12"/>
    <mergeCell ref="E6:G7"/>
    <mergeCell ref="C9:F9"/>
    <mergeCell ref="C10:F10"/>
    <mergeCell ref="C11:F11"/>
    <mergeCell ref="B3:C8"/>
    <mergeCell ref="D4:D5"/>
    <mergeCell ref="E4:G5"/>
    <mergeCell ref="D6:D7"/>
  </mergeCells>
  <pageMargins left="0.7" right="0.7" top="0.75" bottom="0.75" header="0.3" footer="0.3"/>
  <drawing r:id="rId1"/>
  <drawing r:id="rIdPELogo"/>
  <picture r:id="rIdPEwm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BASE BID</vt:lpstr>
      <vt:lpstr>DEFERRED SUBMITTAL</vt:lpstr>
      <vt:lpstr>SUMMARY</vt:lpstr>
      <vt:lpstr>'BASE BID'!Print_Area</vt:lpstr>
      <vt:lpstr>'DEFERRED SUBMITTAL'!Print_Area</vt:lpstr>
      <vt:lpstr>'BASE BID'!Print_Titles</vt:lpstr>
      <vt:lpstr>'DEFERRED SUBMITTAL'!Print_Titles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Abdul Wajid</dc:creator>
  <cp:lastModifiedBy>Atta Ellahi</cp:lastModifiedBy>
  <cp:lastPrinted>2024-11-11T15:24:30Z</cp:lastPrinted>
  <dcterms:created xsi:type="dcterms:W3CDTF">2020-10-24T09:59:59Z</dcterms:created>
  <dcterms:modified xsi:type="dcterms:W3CDTF">2026-10-21T17:38:12Z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PS9Connected">
    <vt:bool>true</vt:bool>
  </property>
</Properties>
</file>